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58996" yWindow="360" windowWidth="23256" windowHeight="10200" tabRatio="448" activeTab="0"/>
  </bookViews>
  <sheets>
    <sheet name="BAA worksheet for FY15 BAA" sheetId="1" r:id="rId1"/>
    <sheet name="AHS 2nd rescission recon" sheetId="2" r:id="rId2"/>
  </sheets>
  <externalReferences>
    <externalReference r:id="rId5"/>
  </externalReferences>
  <definedNames>
    <definedName name="AHS">'BAA worksheet for FY15 BAA'!$B$31:$Q$31</definedName>
    <definedName name="_xlnm.Print_Area" localSheetId="0">'BAA worksheet for FY15 BAA'!$A$1:$R$137</definedName>
    <definedName name="_xlnm.Print_Titles" localSheetId="0">'BAA worksheet for FY15 BAA'!$1:$2</definedName>
  </definedNames>
  <calcPr fullCalcOnLoad="1"/>
</workbook>
</file>

<file path=xl/comments1.xml><?xml version="1.0" encoding="utf-8"?>
<comments xmlns="http://schemas.openxmlformats.org/spreadsheetml/2006/main">
  <authors>
    <author>Emily.Byrne</author>
  </authors>
  <commentList>
    <comment ref="F12" authorId="0">
      <text>
        <r>
          <rPr>
            <b/>
            <sz val="9"/>
            <rFont val="Tahoma"/>
            <family val="2"/>
          </rPr>
          <t>Emily.Byrne:</t>
        </r>
        <r>
          <rPr>
            <sz val="9"/>
            <rFont val="Tahoma"/>
            <family val="2"/>
          </rPr>
          <t xml:space="preserve">
Updated per new BAA after changes to Green Mountain Care; need a decision about Devon… 
</t>
        </r>
      </text>
    </comment>
  </commentList>
</comments>
</file>

<file path=xl/sharedStrings.xml><?xml version="1.0" encoding="utf-8"?>
<sst xmlns="http://schemas.openxmlformats.org/spreadsheetml/2006/main" count="371" uniqueCount="264">
  <si>
    <t>FUNCTION / Department</t>
  </si>
  <si>
    <t>GENERAL GOVERNMENT</t>
  </si>
  <si>
    <t>PROTECTION</t>
  </si>
  <si>
    <t>HUMAN SERVICES</t>
  </si>
  <si>
    <t xml:space="preserve">EDUCATION </t>
  </si>
  <si>
    <t>TRANSPORTATION</t>
  </si>
  <si>
    <t>Education Fund</t>
  </si>
  <si>
    <t>Transportation Fund</t>
  </si>
  <si>
    <t>Global Commitment Fund</t>
  </si>
  <si>
    <t>State Health Care Resources Fund</t>
  </si>
  <si>
    <t>Combined Funds</t>
  </si>
  <si>
    <t>Appropriation Title</t>
  </si>
  <si>
    <t>ARRA Funds</t>
  </si>
  <si>
    <t>TOTAL GENERAL GOVERNMENT</t>
  </si>
  <si>
    <t>TOTAL PROTECTION</t>
  </si>
  <si>
    <t>TOTAL HUMAN SERVICES</t>
  </si>
  <si>
    <t>TOTAL EDUCATION</t>
  </si>
  <si>
    <t>TOTAL TRANSPORTATION</t>
  </si>
  <si>
    <t>TOTAL APPROPRIATION CHANGES (before "words")</t>
  </si>
  <si>
    <t>NATURAL RESOURCES</t>
  </si>
  <si>
    <t>TOTAL NATURAL RESOURCES</t>
  </si>
  <si>
    <t>COMMERCE &amp; COMMUNITY DEVELOPMENT</t>
  </si>
  <si>
    <t>LABOR</t>
  </si>
  <si>
    <t>TOTAL LABOR</t>
  </si>
  <si>
    <t xml:space="preserve">HIGHER EDUCATION </t>
  </si>
  <si>
    <t>TOTAL HIGHER EDUCATION</t>
  </si>
  <si>
    <t>DEBT SERVICE</t>
  </si>
  <si>
    <t>TOTAL DEBT SERVICE</t>
  </si>
  <si>
    <t>Federal  Funds</t>
  </si>
  <si>
    <t>TOTAL APPROPRIATION CHANGE</t>
  </si>
  <si>
    <r>
      <t xml:space="preserve">Special Funds (Various) </t>
    </r>
    <r>
      <rPr>
        <b/>
        <vertAlign val="superscript"/>
        <sz val="11"/>
        <rFont val="Arial"/>
        <family val="2"/>
      </rPr>
      <t>(1)</t>
    </r>
  </si>
  <si>
    <t>(1) Special Funds include: Special, Tobacco, TIB and Fish &amp; Wildlife funds.</t>
  </si>
  <si>
    <r>
      <t xml:space="preserve">Other </t>
    </r>
    <r>
      <rPr>
        <b/>
        <vertAlign val="superscript"/>
        <sz val="11"/>
        <rFont val="Arial"/>
        <family val="2"/>
      </rPr>
      <t xml:space="preserve">(3)  </t>
    </r>
    <r>
      <rPr>
        <b/>
        <sz val="11"/>
        <rFont val="Arial"/>
        <family val="2"/>
      </rPr>
      <t>Funds</t>
    </r>
  </si>
  <si>
    <t>(3) Other Funds include: Internal Service Funds and Interdepartmental Transfers.</t>
  </si>
  <si>
    <t>Debt Service Obligation Funds</t>
  </si>
  <si>
    <r>
      <t>Dedicated Funds</t>
    </r>
    <r>
      <rPr>
        <b/>
        <vertAlign val="superscript"/>
        <sz val="11"/>
        <rFont val="Arial"/>
        <family val="2"/>
      </rPr>
      <t xml:space="preserve"> (2)</t>
    </r>
  </si>
  <si>
    <t>OTHER AND ONE-TIME (with $$ appropriation changes)</t>
  </si>
  <si>
    <t>TOTAL OTHER AND ONE-TIME</t>
  </si>
  <si>
    <t>Transportation Fund rescission</t>
  </si>
  <si>
    <t>TOTAL COMMERCE &amp; COMMUNITY DEVELOPMENT</t>
  </si>
  <si>
    <t>State Labor Relations Board</t>
  </si>
  <si>
    <t>B.135</t>
  </si>
  <si>
    <t>B.342</t>
  </si>
  <si>
    <t>B.316</t>
  </si>
  <si>
    <t>B.317</t>
  </si>
  <si>
    <t>B.318</t>
  </si>
  <si>
    <t>B.319</t>
  </si>
  <si>
    <t>B.321</t>
  </si>
  <si>
    <t>B.323</t>
  </si>
  <si>
    <t>B.338</t>
  </si>
  <si>
    <t>Tax</t>
  </si>
  <si>
    <t>Homeowner Rebate</t>
  </si>
  <si>
    <t xml:space="preserve">Tax </t>
  </si>
  <si>
    <t>Current Use</t>
  </si>
  <si>
    <t>Adjusted Education Payment</t>
  </si>
  <si>
    <t>Education</t>
  </si>
  <si>
    <t>Administration and Support</t>
  </si>
  <si>
    <t>Secretary's Office</t>
  </si>
  <si>
    <t>Department of Vermont Health Access</t>
  </si>
  <si>
    <t>Vermont Department of Health</t>
  </si>
  <si>
    <t>Department of Mental Health</t>
  </si>
  <si>
    <t>B.300</t>
  </si>
  <si>
    <t>B.301</t>
  </si>
  <si>
    <t>B.307</t>
  </si>
  <si>
    <t>B.308</t>
  </si>
  <si>
    <t>B.309</t>
  </si>
  <si>
    <t>B.310</t>
  </si>
  <si>
    <t>B.311</t>
  </si>
  <si>
    <t>B.312</t>
  </si>
  <si>
    <t>B.313</t>
  </si>
  <si>
    <t>B.314</t>
  </si>
  <si>
    <t>Department of Disabilities, Aging, and Independent Living</t>
  </si>
  <si>
    <t>B.329</t>
  </si>
  <si>
    <t>B.333</t>
  </si>
  <si>
    <t>Department of Corrections</t>
  </si>
  <si>
    <t>Vermont Veterans' Home</t>
  </si>
  <si>
    <t>B.505</t>
  </si>
  <si>
    <t>B.137</t>
  </si>
  <si>
    <t>B.140</t>
  </si>
  <si>
    <t>B.503</t>
  </si>
  <si>
    <t>State-Placed Students</t>
  </si>
  <si>
    <t>Secretary of Administration</t>
  </si>
  <si>
    <t>B.100</t>
  </si>
  <si>
    <t>Debt Service</t>
  </si>
  <si>
    <t>B.1000</t>
  </si>
  <si>
    <t>Less duplicated appropriations:</t>
  </si>
  <si>
    <t xml:space="preserve">Secretary's Office - Global Commitment </t>
  </si>
  <si>
    <t xml:space="preserve">Vermont Veterans' Home - Care and Support Services </t>
  </si>
  <si>
    <t>Department for Children and Families</t>
  </si>
  <si>
    <t xml:space="preserve">FISCAL YEAR 2015 BUDGET ADJUSTMENT RECOMMENDED </t>
  </si>
  <si>
    <t>2014          Act 179 Sec #</t>
  </si>
  <si>
    <t>Rescission approved by the Joint Fiscal Committee on 8/13/2014</t>
  </si>
  <si>
    <t>FY 2015 RECOMMENDED BUDGET APPROPRIATION ADJUSTMENTS :</t>
  </si>
  <si>
    <t>FY 2015 As Appropriated</t>
  </si>
  <si>
    <t>NET FY 2015 APPROPRIATION AFTER BAA (as submitted)</t>
  </si>
  <si>
    <t>Renter Rebate</t>
  </si>
  <si>
    <t>B.138</t>
  </si>
  <si>
    <t>Attorney General</t>
  </si>
  <si>
    <t>B.200</t>
  </si>
  <si>
    <t>TransCanada litigation.</t>
  </si>
  <si>
    <t>Executive Office</t>
  </si>
  <si>
    <t>Executive office - governor's office</t>
  </si>
  <si>
    <t>B.124</t>
  </si>
  <si>
    <t>VOSHA</t>
  </si>
  <si>
    <t>VOSHA Review Board</t>
  </si>
  <si>
    <t>B.136</t>
  </si>
  <si>
    <t>Defender General</t>
  </si>
  <si>
    <t>B.202</t>
  </si>
  <si>
    <t>Judiciary</t>
  </si>
  <si>
    <t>B.204</t>
  </si>
  <si>
    <t>State's Attorneys</t>
  </si>
  <si>
    <t>Sheriffs</t>
  </si>
  <si>
    <t>B.205</t>
  </si>
  <si>
    <t>B.207</t>
  </si>
  <si>
    <t>ANR - FPR</t>
  </si>
  <si>
    <t>Natural Resources Board</t>
  </si>
  <si>
    <t>B.713</t>
  </si>
  <si>
    <t>Commerce &amp; Community Dev</t>
  </si>
  <si>
    <t>B.800</t>
  </si>
  <si>
    <t>Administration</t>
  </si>
  <si>
    <t>B.306</t>
  </si>
  <si>
    <t>Medicaid Program - Global Commitment</t>
  </si>
  <si>
    <t xml:space="preserve">Medicaid Program - State Only
</t>
  </si>
  <si>
    <t xml:space="preserve">Public Health
</t>
  </si>
  <si>
    <t xml:space="preserve">Alcohol and Drug Abuse Programs
</t>
  </si>
  <si>
    <t xml:space="preserve">Mental Health
</t>
  </si>
  <si>
    <t xml:space="preserve">Reach-Up
</t>
  </si>
  <si>
    <t>LIHEAP</t>
  </si>
  <si>
    <t xml:space="preserve">Administration and Support
</t>
  </si>
  <si>
    <t>B.331</t>
  </si>
  <si>
    <t>Blind and Visually Impaired</t>
  </si>
  <si>
    <t xml:space="preserve">Developmental Services
</t>
  </si>
  <si>
    <t>B.332</t>
  </si>
  <si>
    <t>Vocational Rehab</t>
  </si>
  <si>
    <t xml:space="preserve">Secretary's Office
</t>
  </si>
  <si>
    <t>Spending Reduction Plan</t>
  </si>
  <si>
    <t>X</t>
  </si>
  <si>
    <t>General Fund</t>
  </si>
  <si>
    <t xml:space="preserve">Medicaid Program - Global Commitment
</t>
  </si>
  <si>
    <t xml:space="preserve">Medicaid Program - Long Term Care Waiver
</t>
  </si>
  <si>
    <t>NET FY 2015 APPROPRIATION AFTER BAA (excluding duplicated appropriations)</t>
  </si>
  <si>
    <t xml:space="preserve">Medicaid Non-Waiver Matched
</t>
  </si>
  <si>
    <t xml:space="preserve">Family Services
</t>
  </si>
  <si>
    <t xml:space="preserve">Child Development
</t>
  </si>
  <si>
    <t xml:space="preserve">Office of Child Support
</t>
  </si>
  <si>
    <t xml:space="preserve">General Assistance
</t>
  </si>
  <si>
    <t>Woodside</t>
  </si>
  <si>
    <t>Disability Determination Services</t>
  </si>
  <si>
    <t>Advocacy &amp; Ind Living Grants</t>
  </si>
  <si>
    <t>B.330</t>
  </si>
  <si>
    <t xml:space="preserve">Correctional Services
</t>
  </si>
  <si>
    <t xml:space="preserve">Administration &amp; Support Services 
</t>
  </si>
  <si>
    <t>AHS CO</t>
  </si>
  <si>
    <t>Rescission GF</t>
  </si>
  <si>
    <t>Rescission GC</t>
  </si>
  <si>
    <t>Rescission GC GF Share</t>
  </si>
  <si>
    <t>AHS GC</t>
  </si>
  <si>
    <t>DVHA</t>
  </si>
  <si>
    <t>TOTAL GF</t>
  </si>
  <si>
    <t>Other</t>
  </si>
  <si>
    <t>TOTAL FROM DVHA</t>
  </si>
  <si>
    <t>VDH</t>
  </si>
  <si>
    <t>Mental Health</t>
  </si>
  <si>
    <t>DCF</t>
  </si>
  <si>
    <t>DDAIL</t>
  </si>
  <si>
    <t>Decreased per diems.</t>
  </si>
  <si>
    <t>Reduce funding for case management project.</t>
  </si>
  <si>
    <t>Hold Lamoille County Sheriff Transport position open.</t>
  </si>
  <si>
    <t>Leverage Parks special fund.</t>
  </si>
  <si>
    <t>Various operating reductions.</t>
  </si>
  <si>
    <t>Moves funds to the AHS GC appropriation to make MCO investment funds and eliminates contract funding no longer needed.</t>
  </si>
  <si>
    <t xml:space="preserve">Lease increase ($103K). </t>
  </si>
  <si>
    <t>Teaching staff not eligible for Title I funding ($24K); AOE Title I funding increase for Sterns Center contract ($42K).</t>
  </si>
  <si>
    <t>Six new Disability Determination Service positions approved by JFC #2669. ($321K).</t>
  </si>
  <si>
    <t>Lease increases.</t>
  </si>
  <si>
    <t xml:space="preserve">Global Commitment savings on CHIP vaccine purchased with Federal CDC program. </t>
  </si>
  <si>
    <t>Increase to GA Emergency Housing based on Fiscal Year 2015 year-to-date trend.</t>
  </si>
  <si>
    <t xml:space="preserve">Position Pilot GF from Reach Up support services caseload decrease (-$1.3 million); Reach Up housing case management grants no longer eligible for Food Stamp E&amp;T funds ($246K); Lund contract to increase from 22 to 26 beds ($480K). </t>
  </si>
  <si>
    <t xml:space="preserve">Net neutral - technical correction to transfer from LIHEAP appropriation to Admin appropriation for administrative costs associated with the LIHEAP program (-$617K).  </t>
  </si>
  <si>
    <t>B.900</t>
  </si>
  <si>
    <t>B.903</t>
  </si>
  <si>
    <t>B.905</t>
  </si>
  <si>
    <t>B.906</t>
  </si>
  <si>
    <t>B.908</t>
  </si>
  <si>
    <t>B.909</t>
  </si>
  <si>
    <t>B.917</t>
  </si>
  <si>
    <t>Transportation - town highway: state aid for nonfederal disasters</t>
  </si>
  <si>
    <t>Transportation - central garage</t>
  </si>
  <si>
    <t>Transportation - public transit</t>
  </si>
  <si>
    <t>Transportation - policy and planning</t>
  </si>
  <si>
    <t>Transportation - maintenance state system</t>
  </si>
  <si>
    <t>Transportation - program development</t>
  </si>
  <si>
    <t>Transportation - finance and administration</t>
  </si>
  <si>
    <t xml:space="preserve">Adjust TFund to cover all current obligations to towns. </t>
  </si>
  <si>
    <t xml:space="preserve">Reorganization related increase to the Finance &amp; Administration appropriation. Adjusts TFund to cover VTrans' reorganization that consolidated Operations Division IT staff (five positions) under F&amp;A IT Section. </t>
  </si>
  <si>
    <t>Adjusts TFund  and FHWA Fund  to cover reorganization that shifts four staff and the Research Program from Program Development to Policy &amp; Planning.  Adjust project budgets to reflect revised schedules due to unavoidable delays, bid result savings, or project spending acceleration into the previous fiscal year.</t>
  </si>
  <si>
    <t xml:space="preserve">Reorganization related decrease to the Maintenance appropriation. Adjusts TFund to cover VTrans' reorganization that consolidated Operations Division IT staff (five positions) under F&amp;A IT Section. </t>
  </si>
  <si>
    <t xml:space="preserve">Adjusts TFund  and FHWA Fund  to cover reorganization that shifts four staff and the Research Program from Program Development to Policy &amp; Planning.  </t>
  </si>
  <si>
    <t>Shifts new starts from TF to FTA based on interpretation of MAP-21 language that allows FY2012 routes to continue to be federally funded.</t>
  </si>
  <si>
    <t>Reappraisal &amp; Listing Payments</t>
  </si>
  <si>
    <t>B.139</t>
  </si>
  <si>
    <t>B.801</t>
  </si>
  <si>
    <t>B.802</t>
  </si>
  <si>
    <t>B.806</t>
  </si>
  <si>
    <t>Housing and Community Development</t>
  </si>
  <si>
    <t>Tourism and Marketing</t>
  </si>
  <si>
    <t>Economic Development</t>
  </si>
  <si>
    <r>
      <t>Hold position vacant, reduce hours, eliminate family support project, reduce trainings,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OOS travel, eliminate position.</t>
    </r>
  </si>
  <si>
    <t>Extend and increase existing vacancy savings policy.</t>
  </si>
  <si>
    <t>Reduce grants by 1.5%, CMO vacancy savings.</t>
  </si>
  <si>
    <t>Reduce grants by 1.5%, use of carry forward funds.</t>
  </si>
  <si>
    <t>Reduce grants by 1.5%.</t>
  </si>
  <si>
    <t>Recission reduced Central Garage equipment purchases by $747,826 from $7,218,200 to $6,470,374 (10 percent).  Planned equipment purchases were increased by a one-time $747,826 to use an FY2013 year end CG Fund cash surplus.  This proposes to "refund" this surplus back to the TFund.   This includes a fund transfer in the BAA and on the TFund operating statement.  In general, Central Garage equipment is in relatively good condition.</t>
  </si>
  <si>
    <t xml:space="preserve">Increased GF as a result of lower than projected Census. </t>
  </si>
  <si>
    <t>Reduce grants by 1.5%, vacancy savings Office of Creative Economy.</t>
  </si>
  <si>
    <t>Enhancement to the Consumer Assistance Program.</t>
  </si>
  <si>
    <t>B.324</t>
  </si>
  <si>
    <t>B.327</t>
  </si>
  <si>
    <t>B.328</t>
  </si>
  <si>
    <t>Reduction in DVBI Case Services.</t>
  </si>
  <si>
    <t>Vermont Center for Independent Living Grant Reduction.</t>
  </si>
  <si>
    <t>Reduction in child and home care union attorney services.</t>
  </si>
  <si>
    <t>Reflects the General Fund (GF) and Federal Fund (FF) impacts for all Global Commitment (GC) appropriation changes throughout State government (primarily within the Agency of Human Services (AHS)); MCO Investment for Green Mountain Care related activities ($389.6k GF, $895.5K total); 2-1-1 Contract Funding ($36.8K GF, $85 total); Technical correction for Agency of Education Medicaid appropriation in Act 179 ($11.6K GF, $26.7K total); Non-MCO admin for the AHS Central Office ($201K GF, $402K total); Technical adjustment for GC appropriation (-$31K GF); Use of GC carryforward (-$4.9M GF, -$11.2M total); Backfill SHCRF ($4.5M ); Enhanced FMAP for New Adult population (-$12.7M); Enhanced FMAP for Opioid Alliance (-$1.48M).</t>
  </si>
  <si>
    <t>Reduce dues to national organizations (-$25K GF); Reduce Pharmacy Benefit Manager Contract  (-$250K GC); Reduce printing costs (-$100K GC); Reduce in-state travel (-$50K GC); Eliminate UVM VCHIP Grant (-$125K GC); Replace GF with HIT funds for GC Match (-$84.7K SF); Eliminate Ingenix Contract (-$396K GC); Reduce Radiology contract (-$100K GC); Eliminate FAHC Congestive Heart Failure Grant (-$21K GC); Eliminate Policy Integrity Contract (-$12K GC); Eliminate Covington and Burling Contract (-$20K GC).</t>
  </si>
  <si>
    <t>Caseload and Utilization ($16.5M GC); Transfer from AHSCO for independent direct care providers ($2.27M GC); Change in Buy-In (-$2.38M GC); Reduction in Premium Subsidy Trend (-$1.7M GC); Opiate Care Alliance - Bennington ($25k GC).</t>
  </si>
  <si>
    <t>Inpatient cost savings.</t>
  </si>
  <si>
    <t xml:space="preserve">Reduce moderate needs 2 year reinvestment. </t>
  </si>
  <si>
    <t>Caseload and Utilization (-$282.5K GF, -$636.5K FF); Change in Buy-In (-$139K FF).</t>
  </si>
  <si>
    <t>Lease increase ($43K GF, $50K FF, $9.6K GC); Additional certified match for VCHIP.</t>
  </si>
  <si>
    <t>LIHEAP caseload savings (-$1 million).</t>
  </si>
  <si>
    <t>Use of one time ARRA redistribution (-$1.636 million); Caseload savings for Reach Up (-$558K).</t>
  </si>
  <si>
    <t>Net Neutral: Independent Direct Care provider funds from AHSCO ($1.29M); Integrated Family Services transfer to DMH (-$100K).</t>
  </si>
  <si>
    <t>Vacancy Savings.</t>
  </si>
  <si>
    <t>The homeowner rebate is lower than originally estimated for FY 2015.</t>
  </si>
  <si>
    <t>The renter rebate usage is higher than originally estimated for FY 2015.</t>
  </si>
  <si>
    <t>The current use program usage is slightly higher than originally estimated for FY 2015.</t>
  </si>
  <si>
    <t>B.705</t>
  </si>
  <si>
    <t>State Parks</t>
  </si>
  <si>
    <t>Combination of debt service savings (-$837,670) due to recent debt refinancing and the Feds reduction of its ARRA interest subsidy (+$624) that will be covered by GF.</t>
  </si>
  <si>
    <t>Restores rescission to Education Loan Repayment Program (net neutral).</t>
  </si>
  <si>
    <t xml:space="preserve">Lease increase ($50.8K); $150K of position pilot grant moved from Family Services Division (FSD); Net Neutral - technical correction to shift TANF and GF funding between Child Development Division and Family Services Division; Therapeutic Child Care Services transferred ($268K). </t>
  </si>
  <si>
    <t>Technical adjustment to true-up Federal GC earnings; Economic Services Division Contract with Vermont Academy of Family Practitioners for Reach Up Medical Review Team ($150K); Funding swap for VHC Sustainability 14 HAEU positions; Funding VHC sustainability 73 HAEU position pilot positions transferring temporaries to permanent ($1.365 million - $20K FF, $214K SHCRF, $1.13 million GC); Lease increase ($274K); net neutrals - Transfer LIHEAP (Low Income Home Energy Assistance Program (LIHEAP) to Admin appropriation ($616K GF);Transfer 5 positions to AHS CO ($72K GF, $131K FF, $64K GC), 7 Pilot Positions using Reach-Up caseload savings ($161K GF, $39K FF, $48K GC).</t>
  </si>
  <si>
    <t xml:space="preserve">Reduction in utilization for residential treatment. </t>
  </si>
  <si>
    <t>27 pilot positions using Reach-Up caseload savings for personal and operating services ($1.432 million); 3 position pilot positions from Chen Report ($79.7K); Insurance premium increase for foster parent liability and casualty policy ($20K); lease increase ($374K); Sub-adopt caseload increase ($1.304 million); Sub-adopt cost per case decrease (-$960K); Sub-care caseload increase (908 to 1,096 - $5.38 million); Sub-care cost per case decrease ($28,610 to $25,674 - $-3.218 million); Child &amp; Family Support caseload and cost per case increase ($651K); Net neutral - Increase in caseload for Department of Mental Health ISB Waivers and then transferred to DMH; technical correction to shift TANF and GF funding between Child Development Division and Family Services Division.</t>
  </si>
  <si>
    <t>Funding for positions: Two HR Investigators ($66K GF, $162k total), Emergency Management position ($35.7K GF, $115K total), Administrative Services Director for 6 months ($17K GC, $50K total).
Position Transfers: seven Medicaid Policy positions from DVHA effective April 2015 ($112K IDT), a program director from DCF ($81.3K FF),  two ESD benefit program policy analysts, one staff attorney, one secretary from DCF ($47.7K GF, $195K total), one database administrator from DCF ($24.3K, $72K total).
Increased contract with Champlain College for computer forensics ($5K GF); Lease increases ($86K GF, $271K total).
Net Neutrals: Transfer of funds for Independent Direct Care providers to DAIL and DVHA (-$1.74M GF); Transfer 2-1-1 funding from DCF ($84.7K GC).</t>
  </si>
  <si>
    <t>Increased Provider Tax receipts.</t>
  </si>
  <si>
    <t>Federal Receipts needed to match GF Carryforward ($3.59M FF); Transfer funds to DAIL Grants for reinvestment; Long Term Care (LTC) (-$206K GF, -$268K FF) nursing home and home and community based services trend ($700K GF $908K FF); Acute caseload and utilization ($350K GF, $454.6K FF); Change in Buy-In (-$33.5K GF, -$43.5K FF).</t>
  </si>
  <si>
    <t>Caseload and utilization (-$757K GF, -$1.1M GC); Change in Buy-In (-$3.7K GC); Applied Behavior Analysis (ABA) transfer to DMH (-$3.06M GC); Reduction in cost sharing trend (-$427K GF).</t>
  </si>
  <si>
    <t>Vermont Premium Assistance Reconciliation (-$500K GF); Change in Clawback (-$1.1M GF).</t>
  </si>
  <si>
    <t>General Fund rescission due to July 2014 Consensus Revenue reduction; approved by the Joint Fiscal Committee on 8/13/2014.</t>
  </si>
  <si>
    <t>Transportation Fund rescission due to July 2014 Consensus Revenue reduction; given to the Joint Fiscal Committee 8/13/2014.</t>
  </si>
  <si>
    <t>General Fund transfer and appropriation to the Education Fund.</t>
  </si>
  <si>
    <t>Global Commitment special funds.</t>
  </si>
  <si>
    <t>Internal Service Funds and Interdepartmental transfers.</t>
  </si>
  <si>
    <t>Severely Functional Impairment Caseload Savings (-$200K); Integrated Family Services Family managed respite (-$1.2M); Developmental Services Caseload and utilization savings (-$646.5K).</t>
  </si>
  <si>
    <t>Net Neutral: SASH funding from Choice for Care (C4C) reinvestments ($50.5K GC); Home Modification funding from C4C reinvestments ($207K GF); Independent Direct Care provider funds from AHSCO ($158K GF, $65K GC).
Technical adjustment for LTC Ombudsman Grant (-$43K IDT, $43K GC).</t>
  </si>
  <si>
    <t>Personal Services savings in overtime (-$1K), Temporary Employees (-$5K), and Vacancy Savings (-$92.7K);  and Operating Savings in travel (-$4K), Phones (-$5K), Hardware (-$3.7K); Postage (-$1.5K), Printing (-$12K).</t>
  </si>
  <si>
    <t>Increased Vacancy Savings (-$2.2K GF, -$202.9K GC); Decrease operating (-$4.2K GF, -$56.8K GC); Revised start-up projection for Second Spring North (-$571.5K GC); Children's non-categorical underutilization(-$68K GC); Decrease in children's ABA costs (-$925.8K GC); Decrease housing vouchers (-$437K GC).</t>
  </si>
  <si>
    <t>Lease at Harvest Lane ($452 GF, $814 FF, $42K GC); Pathways to housing ($612K GC); Client Receipts ($5K SF, -$5K GC);
Net Neutral Transactions: Transfer funds to VDH for Community Health services of Lamoille Valley (-$26K GF, -$61K GC); Transfer funds from DFC for Therapeutic Childcare Services ($268K GC); Transfer funds from DCF for ISB Waiver ($1.23M GC); ABA transfer from DVHA ($3.06M GC); Integrated Family Services transfer from DAIL ($100K GC).</t>
  </si>
  <si>
    <t>Opiate Care Alliance in Bennington ($180K GC).
Net Neutral: Transfer fund to DMH for Community Health Services of Lamoille Valley ($26K GF, $61K GC).</t>
  </si>
  <si>
    <t>Transfer 7 positions to AHS Central office (-$735GF, -$29K FF, -$82K GC); Vermont Health Connect (VHC) salary and operating funding shift due to changes in cost allocation (-$513.7 VHC  $723 GC); Decrease DII staff augmentation for enterprise architecture at VHC (-$163K VHC,             -$942.5K GC); VHC Optum Security System for 6 months ($54K VHC, $292K GC); VHC Infrastructure Maintenance and Operations (M&amp;O) ($512.6K VHC, $2.7M GC); VHC Application M&amp;O ($771K VHC, $4.4M GC); VHC Licensing and Soft ware Assurance and Services ($110K VHC, $531K GC); VHC Premium Processing (-$195K VHC, $699K GC); VHC Other reductions and cost allocation changes (-$2M VHC, $669K GC); VHC DII MOU for M&amp;O staff ($58.7K VHC, $315K GC); Rent ($7k GC); Use HIT funds as GC Match for VITL Core Grant (-$2.36M SF, $2.36M GC).</t>
  </si>
  <si>
    <t>(2) Dedicated funds include: Local Match, TIB Proceeds, Pension &amp; Trust Funds, Retired Teachers Health Fund, and Enterprise Funds.</t>
  </si>
  <si>
    <t>FY 2015 Revised Appropriation (post rescissions)</t>
  </si>
  <si>
    <t>Narrative Description - BAA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</si>
</sst>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/d/yy\ h:mm\ AM/PM;@"/>
    <numFmt numFmtId="165" formatCode="_(* #,##0_);_(* \(#,##0\);_(* &quot;-&quot;??_);_(@_)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vertAlign val="superscript"/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 style="double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thin"/>
      <top/>
      <bottom/>
    </border>
    <border>
      <left/>
      <right style="thin"/>
      <top style="thin"/>
      <bottom style="double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 style="thin"/>
      <bottom style="double"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5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0" fontId="5" fillId="0" borderId="9">
      <alignment horizontal="center"/>
      <protection/>
    </xf>
    <xf numFmtId="3" fontId="4" fillId="0" borderId="0" applyFont="0" applyFill="0" applyBorder="0" applyAlignment="0" applyProtection="0"/>
    <xf numFmtId="0" fontId="4" fillId="33" borderId="0" applyNumberFormat="0" applyFont="0" applyBorder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37" fontId="2" fillId="0" borderId="0" xfId="0" applyNumberFormat="1" applyFont="1" applyFill="1" applyAlignment="1" applyProtection="1">
      <alignment vertical="top"/>
      <protection/>
    </xf>
    <xf numFmtId="37" fontId="2" fillId="0" borderId="0" xfId="0" applyNumberFormat="1" applyFont="1" applyFill="1" applyAlignment="1" applyProtection="1">
      <alignment horizontal="right" vertical="top"/>
      <protection/>
    </xf>
    <xf numFmtId="37" fontId="2" fillId="0" borderId="0" xfId="0" applyNumberFormat="1" applyFont="1" applyFill="1" applyBorder="1" applyAlignment="1" applyProtection="1">
      <alignment vertical="top" wrapText="1"/>
      <protection/>
    </xf>
    <xf numFmtId="37" fontId="2" fillId="0" borderId="0" xfId="0" applyNumberFormat="1" applyFont="1" applyFill="1" applyAlignment="1" applyProtection="1">
      <alignment horizontal="left" vertical="top"/>
      <protection/>
    </xf>
    <xf numFmtId="37" fontId="2" fillId="0" borderId="0" xfId="0" applyNumberFormat="1" applyFont="1" applyFill="1" applyBorder="1" applyAlignment="1" applyProtection="1">
      <alignment horizontal="right" vertical="top"/>
      <protection/>
    </xf>
    <xf numFmtId="37" fontId="2" fillId="0" borderId="0" xfId="0" applyNumberFormat="1" applyFont="1" applyFill="1" applyBorder="1" applyAlignment="1" applyProtection="1">
      <alignment vertical="top"/>
      <protection/>
    </xf>
    <xf numFmtId="37" fontId="2" fillId="0" borderId="11" xfId="0" applyNumberFormat="1" applyFont="1" applyFill="1" applyBorder="1" applyAlignment="1" applyProtection="1">
      <alignment/>
      <protection/>
    </xf>
    <xf numFmtId="37" fontId="3" fillId="0" borderId="0" xfId="0" applyNumberFormat="1" applyFont="1" applyFill="1" applyBorder="1" applyAlignment="1" applyProtection="1">
      <alignment vertical="top" wrapText="1"/>
      <protection/>
    </xf>
    <xf numFmtId="37" fontId="2" fillId="0" borderId="0" xfId="42" applyNumberFormat="1" applyFont="1" applyFill="1" applyBorder="1" applyAlignment="1" applyProtection="1">
      <alignment horizontal="right" vertical="top"/>
      <protection/>
    </xf>
    <xf numFmtId="37" fontId="2" fillId="0" borderId="12" xfId="0" applyNumberFormat="1" applyFont="1" applyFill="1" applyBorder="1" applyAlignment="1" applyProtection="1">
      <alignment vertical="top"/>
      <protection/>
    </xf>
    <xf numFmtId="37" fontId="3" fillId="0" borderId="0" xfId="42" applyNumberFormat="1" applyFont="1" applyFill="1" applyBorder="1" applyAlignment="1" applyProtection="1">
      <alignment horizontal="right" vertical="top"/>
      <protection/>
    </xf>
    <xf numFmtId="37" fontId="2" fillId="0" borderId="0" xfId="0" applyNumberFormat="1" applyFont="1" applyFill="1" applyBorder="1" applyAlignment="1" applyProtection="1">
      <alignment horizontal="center" vertical="top" wrapText="1"/>
      <protection/>
    </xf>
    <xf numFmtId="37" fontId="2" fillId="0" borderId="13" xfId="0" applyNumberFormat="1" applyFont="1" applyFill="1" applyBorder="1" applyAlignment="1" applyProtection="1">
      <alignment wrapText="1"/>
      <protection/>
    </xf>
    <xf numFmtId="37" fontId="3" fillId="0" borderId="13" xfId="0" applyNumberFormat="1" applyFont="1" applyFill="1" applyBorder="1" applyAlignment="1" applyProtection="1">
      <alignment horizontal="center" wrapText="1"/>
      <protection/>
    </xf>
    <xf numFmtId="37" fontId="2" fillId="0" borderId="0" xfId="0" applyNumberFormat="1" applyFont="1" applyAlignment="1">
      <alignment vertical="top" wrapText="1"/>
    </xf>
    <xf numFmtId="37" fontId="2" fillId="0" borderId="14" xfId="0" applyNumberFormat="1" applyFont="1" applyFill="1" applyBorder="1" applyAlignment="1" applyProtection="1">
      <alignment vertical="top" wrapText="1"/>
      <protection/>
    </xf>
    <xf numFmtId="37" fontId="2" fillId="0" borderId="0" xfId="0" applyNumberFormat="1" applyFont="1" applyBorder="1" applyAlignment="1">
      <alignment vertical="top"/>
    </xf>
    <xf numFmtId="164" fontId="2" fillId="0" borderId="0" xfId="0" applyNumberFormat="1" applyFont="1" applyBorder="1" applyAlignment="1">
      <alignment vertical="top" wrapText="1"/>
    </xf>
    <xf numFmtId="37" fontId="2" fillId="0" borderId="14" xfId="0" applyNumberFormat="1" applyFont="1" applyFill="1" applyBorder="1" applyAlignment="1" applyProtection="1">
      <alignment horizontal="center" vertical="top" wrapText="1"/>
      <protection/>
    </xf>
    <xf numFmtId="37" fontId="2" fillId="0" borderId="14" xfId="0" applyNumberFormat="1" applyFont="1" applyFill="1" applyBorder="1" applyAlignment="1" applyProtection="1">
      <alignment horizontal="center" vertical="top"/>
      <protection/>
    </xf>
    <xf numFmtId="37" fontId="3" fillId="0" borderId="13" xfId="0" applyNumberFormat="1" applyFont="1" applyFill="1" applyBorder="1" applyAlignment="1" applyProtection="1">
      <alignment horizontal="left"/>
      <protection/>
    </xf>
    <xf numFmtId="37" fontId="3" fillId="0" borderId="15" xfId="0" applyNumberFormat="1" applyFont="1" applyFill="1" applyBorder="1" applyAlignment="1" applyProtection="1">
      <alignment horizontal="left" vertical="top"/>
      <protection/>
    </xf>
    <xf numFmtId="37" fontId="2" fillId="0" borderId="12" xfId="0" applyNumberFormat="1" applyFont="1" applyFill="1" applyBorder="1" applyAlignment="1" applyProtection="1">
      <alignment horizontal="right" vertical="top"/>
      <protection/>
    </xf>
    <xf numFmtId="37" fontId="3" fillId="0" borderId="15" xfId="0" applyNumberFormat="1" applyFont="1" applyFill="1" applyBorder="1" applyAlignment="1" applyProtection="1">
      <alignment vertical="center"/>
      <protection/>
    </xf>
    <xf numFmtId="37" fontId="3" fillId="0" borderId="0" xfId="0" applyNumberFormat="1" applyFont="1" applyFill="1" applyBorder="1" applyAlignment="1" applyProtection="1">
      <alignment vertical="center" wrapText="1"/>
      <protection/>
    </xf>
    <xf numFmtId="37" fontId="3" fillId="0" borderId="0" xfId="0" applyNumberFormat="1" applyFont="1" applyFill="1" applyBorder="1" applyAlignment="1" applyProtection="1">
      <alignment vertical="center"/>
      <protection/>
    </xf>
    <xf numFmtId="37" fontId="3" fillId="0" borderId="15" xfId="0" applyNumberFormat="1" applyFont="1" applyFill="1" applyBorder="1" applyAlignment="1" applyProtection="1">
      <alignment horizontal="left" vertical="center"/>
      <protection/>
    </xf>
    <xf numFmtId="37" fontId="3" fillId="0" borderId="14" xfId="0" applyNumberFormat="1" applyFont="1" applyFill="1" applyBorder="1" applyAlignment="1" applyProtection="1">
      <alignment vertical="center" wrapText="1"/>
      <protection/>
    </xf>
    <xf numFmtId="37" fontId="3" fillId="0" borderId="11" xfId="0" applyNumberFormat="1" applyFont="1" applyFill="1" applyBorder="1" applyAlignment="1" applyProtection="1">
      <alignment vertical="center"/>
      <protection/>
    </xf>
    <xf numFmtId="37" fontId="2" fillId="0" borderId="15" xfId="0" applyNumberFormat="1" applyFont="1" applyFill="1" applyBorder="1" applyAlignment="1" applyProtection="1">
      <alignment vertical="center"/>
      <protection/>
    </xf>
    <xf numFmtId="37" fontId="2" fillId="0" borderId="16" xfId="0" applyNumberFormat="1" applyFont="1" applyFill="1" applyBorder="1" applyAlignment="1" applyProtection="1">
      <alignment vertical="center"/>
      <protection/>
    </xf>
    <xf numFmtId="37" fontId="3" fillId="0" borderId="11" xfId="42" applyNumberFormat="1" applyFont="1" applyFill="1" applyBorder="1" applyAlignment="1" applyProtection="1">
      <alignment horizontal="right" vertical="center"/>
      <protection/>
    </xf>
    <xf numFmtId="37" fontId="2" fillId="0" borderId="0" xfId="0" applyNumberFormat="1" applyFont="1" applyFill="1" applyAlignment="1" applyProtection="1">
      <alignment vertical="center"/>
      <protection/>
    </xf>
    <xf numFmtId="37" fontId="2" fillId="0" borderId="0" xfId="0" applyNumberFormat="1" applyFont="1" applyFill="1" applyBorder="1" applyAlignment="1" applyProtection="1">
      <alignment vertical="center" wrapText="1"/>
      <protection/>
    </xf>
    <xf numFmtId="37" fontId="3" fillId="0" borderId="13" xfId="0" applyNumberFormat="1" applyFont="1" applyFill="1" applyBorder="1" applyAlignment="1" applyProtection="1">
      <alignment vertical="center" wrapText="1"/>
      <protection/>
    </xf>
    <xf numFmtId="37" fontId="2" fillId="0" borderId="17" xfId="0" applyNumberFormat="1" applyFont="1" applyFill="1" applyBorder="1" applyAlignment="1" applyProtection="1">
      <alignment horizontal="center" vertical="center"/>
      <protection/>
    </xf>
    <xf numFmtId="37" fontId="3" fillId="0" borderId="13" xfId="0" applyNumberFormat="1" applyFont="1" applyFill="1" applyBorder="1" applyAlignment="1" applyProtection="1">
      <alignment wrapText="1"/>
      <protection/>
    </xf>
    <xf numFmtId="37" fontId="3" fillId="0" borderId="15" xfId="0" applyNumberFormat="1" applyFont="1" applyFill="1" applyBorder="1" applyAlignment="1" applyProtection="1">
      <alignment horizontal="left" vertical="top" wrapText="1"/>
      <protection/>
    </xf>
    <xf numFmtId="37" fontId="3" fillId="11" borderId="13" xfId="0" applyNumberFormat="1" applyFont="1" applyFill="1" applyBorder="1" applyAlignment="1" applyProtection="1">
      <alignment vertical="center" wrapText="1"/>
      <protection/>
    </xf>
    <xf numFmtId="37" fontId="2" fillId="11" borderId="17" xfId="0" applyNumberFormat="1" applyFont="1" applyFill="1" applyBorder="1" applyAlignment="1" applyProtection="1">
      <alignment horizontal="center" vertical="center" wrapText="1"/>
      <protection/>
    </xf>
    <xf numFmtId="37" fontId="2" fillId="0" borderId="14" xfId="0" applyNumberFormat="1" applyFont="1" applyFill="1" applyBorder="1" applyAlignment="1" applyProtection="1">
      <alignment horizontal="center" vertical="center"/>
      <protection/>
    </xf>
    <xf numFmtId="37" fontId="2" fillId="0" borderId="14" xfId="0" applyNumberFormat="1" applyFont="1" applyFill="1" applyBorder="1" applyAlignment="1" applyProtection="1">
      <alignment horizontal="center" vertical="center" wrapText="1"/>
      <protection/>
    </xf>
    <xf numFmtId="37" fontId="3" fillId="0" borderId="0" xfId="0" applyNumberFormat="1" applyFont="1" applyFill="1" applyAlignment="1" applyProtection="1">
      <alignment vertical="top" wrapText="1"/>
      <protection/>
    </xf>
    <xf numFmtId="37" fontId="3" fillId="0" borderId="0" xfId="0" applyNumberFormat="1" applyFont="1" applyFill="1" applyBorder="1" applyAlignment="1" applyProtection="1">
      <alignment horizontal="left" vertical="top" wrapText="1"/>
      <protection/>
    </xf>
    <xf numFmtId="37" fontId="2" fillId="0" borderId="0" xfId="0" applyNumberFormat="1" applyFont="1" applyFill="1" applyBorder="1" applyAlignment="1" applyProtection="1">
      <alignment horizontal="left" vertical="top" wrapText="1"/>
      <protection/>
    </xf>
    <xf numFmtId="37" fontId="3" fillId="0" borderId="11" xfId="0" applyNumberFormat="1" applyFont="1" applyFill="1" applyBorder="1" applyAlignment="1" applyProtection="1">
      <alignment horizontal="center" wrapText="1"/>
      <protection/>
    </xf>
    <xf numFmtId="37" fontId="3" fillId="11" borderId="18" xfId="42" applyNumberFormat="1" applyFont="1" applyFill="1" applyBorder="1" applyAlignment="1" applyProtection="1">
      <alignment horizontal="right" vertical="center"/>
      <protection/>
    </xf>
    <xf numFmtId="37" fontId="2" fillId="0" borderId="19" xfId="0" applyNumberFormat="1" applyFont="1" applyFill="1" applyBorder="1" applyAlignment="1" applyProtection="1">
      <alignment vertical="top"/>
      <protection/>
    </xf>
    <xf numFmtId="37" fontId="3" fillId="0" borderId="0" xfId="0" applyNumberFormat="1" applyFont="1" applyFill="1" applyAlignment="1" applyProtection="1">
      <alignment vertical="top"/>
      <protection/>
    </xf>
    <xf numFmtId="37" fontId="2" fillId="0" borderId="2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Font="1" applyFill="1" applyAlignment="1">
      <alignment vertical="top" wrapText="1"/>
    </xf>
    <xf numFmtId="37" fontId="3" fillId="0" borderId="20" xfId="0" applyNumberFormat="1" applyFont="1" applyFill="1" applyBorder="1" applyAlignment="1" applyProtection="1">
      <alignment horizontal="left" vertical="top" wrapText="1"/>
      <protection/>
    </xf>
    <xf numFmtId="37" fontId="3" fillId="10" borderId="21" xfId="42" applyNumberFormat="1" applyFont="1" applyFill="1" applyBorder="1" applyAlignment="1" applyProtection="1">
      <alignment horizontal="right" vertical="center"/>
      <protection/>
    </xf>
    <xf numFmtId="37" fontId="3" fillId="10" borderId="13" xfId="42" applyNumberFormat="1" applyFont="1" applyFill="1" applyBorder="1" applyAlignment="1" applyProtection="1">
      <alignment horizontal="right" vertical="center"/>
      <protection/>
    </xf>
    <xf numFmtId="37" fontId="3" fillId="0" borderId="0" xfId="0" applyNumberFormat="1" applyFont="1" applyFill="1" applyAlignment="1" applyProtection="1">
      <alignment vertical="top" wrapText="1"/>
      <protection/>
    </xf>
    <xf numFmtId="165" fontId="3" fillId="10" borderId="13" xfId="42" applyNumberFormat="1" applyFont="1" applyFill="1" applyBorder="1" applyAlignment="1" applyProtection="1">
      <alignment horizontal="center" wrapText="1"/>
      <protection/>
    </xf>
    <xf numFmtId="165" fontId="3" fillId="10" borderId="20" xfId="42" applyNumberFormat="1" applyFont="1" applyFill="1" applyBorder="1" applyAlignment="1" applyProtection="1">
      <alignment horizontal="right" vertical="top"/>
      <protection/>
    </xf>
    <xf numFmtId="165" fontId="3" fillId="11" borderId="13" xfId="42" applyNumberFormat="1" applyFont="1" applyFill="1" applyBorder="1" applyAlignment="1" applyProtection="1">
      <alignment horizontal="right" vertical="center"/>
      <protection/>
    </xf>
    <xf numFmtId="165" fontId="2" fillId="10" borderId="20" xfId="42" applyNumberFormat="1" applyFont="1" applyFill="1" applyBorder="1" applyAlignment="1" applyProtection="1">
      <alignment horizontal="right" vertical="top"/>
      <protection/>
    </xf>
    <xf numFmtId="165" fontId="3" fillId="10" borderId="13" xfId="42" applyNumberFormat="1" applyFont="1" applyFill="1" applyBorder="1" applyAlignment="1" applyProtection="1">
      <alignment horizontal="right" vertical="center"/>
      <protection/>
    </xf>
    <xf numFmtId="165" fontId="3" fillId="10" borderId="20" xfId="42" applyNumberFormat="1" applyFont="1" applyFill="1" applyBorder="1" applyAlignment="1" applyProtection="1">
      <alignment horizontal="right" vertical="center"/>
      <protection/>
    </xf>
    <xf numFmtId="165" fontId="3" fillId="4" borderId="20" xfId="42" applyNumberFormat="1" applyFont="1" applyFill="1" applyBorder="1" applyAlignment="1" applyProtection="1">
      <alignment horizontal="right" vertical="top"/>
      <protection/>
    </xf>
    <xf numFmtId="165" fontId="3" fillId="0" borderId="14" xfId="42" applyNumberFormat="1" applyFont="1" applyFill="1" applyBorder="1" applyAlignment="1" applyProtection="1">
      <alignment horizontal="right" vertical="top"/>
      <protection/>
    </xf>
    <xf numFmtId="165" fontId="2" fillId="0" borderId="14" xfId="42" applyNumberFormat="1" applyFont="1" applyFill="1" applyBorder="1" applyAlignment="1" applyProtection="1">
      <alignment horizontal="right" vertical="top"/>
      <protection/>
    </xf>
    <xf numFmtId="165" fontId="2" fillId="0" borderId="22" xfId="42" applyNumberFormat="1" applyFont="1" applyFill="1" applyBorder="1" applyAlignment="1" applyProtection="1">
      <alignment horizontal="right" vertical="top"/>
      <protection/>
    </xf>
    <xf numFmtId="165" fontId="2" fillId="0" borderId="0" xfId="42" applyNumberFormat="1" applyFont="1" applyFill="1" applyBorder="1" applyAlignment="1" applyProtection="1">
      <alignment horizontal="right" vertical="top"/>
      <protection/>
    </xf>
    <xf numFmtId="165" fontId="2" fillId="0" borderId="0" xfId="42" applyNumberFormat="1" applyFont="1" applyFill="1" applyAlignment="1" applyProtection="1">
      <alignment horizontal="right" vertical="top"/>
      <protection/>
    </xf>
    <xf numFmtId="165" fontId="3" fillId="0" borderId="11" xfId="42" applyNumberFormat="1" applyFont="1" applyFill="1" applyBorder="1" applyAlignment="1" applyProtection="1">
      <alignment horizontal="right" vertical="center"/>
      <protection/>
    </xf>
    <xf numFmtId="165" fontId="3" fillId="0" borderId="0" xfId="42" applyNumberFormat="1" applyFont="1" applyFill="1" applyBorder="1" applyAlignment="1" applyProtection="1">
      <alignment horizontal="right" vertical="center"/>
      <protection/>
    </xf>
    <xf numFmtId="37" fontId="3" fillId="0" borderId="0" xfId="0" applyNumberFormat="1" applyFont="1" applyFill="1" applyAlignment="1" applyProtection="1">
      <alignment horizontal="center" vertical="top"/>
      <protection/>
    </xf>
    <xf numFmtId="37" fontId="3" fillId="0" borderId="0" xfId="0" applyNumberFormat="1" applyFont="1" applyFill="1" applyBorder="1" applyAlignment="1" applyProtection="1">
      <alignment horizontal="center" vertical="top"/>
      <protection/>
    </xf>
    <xf numFmtId="37" fontId="3" fillId="0" borderId="0" xfId="0" applyNumberFormat="1" applyFont="1" applyFill="1" applyBorder="1" applyAlignment="1" applyProtection="1">
      <alignment horizontal="center" vertical="center"/>
      <protection/>
    </xf>
    <xf numFmtId="37" fontId="3" fillId="0" borderId="0" xfId="0" applyNumberFormat="1" applyFont="1" applyFill="1" applyAlignment="1" applyProtection="1">
      <alignment horizontal="center" vertical="center"/>
      <protection/>
    </xf>
    <xf numFmtId="165" fontId="3" fillId="32" borderId="13" xfId="42" applyNumberFormat="1" applyFont="1" applyFill="1" applyBorder="1" applyAlignment="1" applyProtection="1">
      <alignment horizontal="right" vertical="center"/>
      <protection/>
    </xf>
    <xf numFmtId="37" fontId="3" fillId="11" borderId="12" xfId="42" applyNumberFormat="1" applyFont="1" applyFill="1" applyBorder="1" applyAlignment="1" applyProtection="1">
      <alignment horizontal="right" vertical="center"/>
      <protection/>
    </xf>
    <xf numFmtId="37" fontId="3" fillId="11" borderId="23" xfId="42" applyNumberFormat="1" applyFont="1" applyFill="1" applyBorder="1" applyAlignment="1" applyProtection="1">
      <alignment horizontal="right" vertical="center"/>
      <protection/>
    </xf>
    <xf numFmtId="37" fontId="3" fillId="11" borderId="24" xfId="42" applyNumberFormat="1" applyFont="1" applyFill="1" applyBorder="1" applyAlignment="1" applyProtection="1">
      <alignment horizontal="right" vertical="center"/>
      <protection/>
    </xf>
    <xf numFmtId="37" fontId="2" fillId="0" borderId="14" xfId="0" applyNumberFormat="1" applyFont="1" applyFill="1" applyBorder="1" applyAlignment="1" applyProtection="1">
      <alignment vertical="center" wrapText="1"/>
      <protection/>
    </xf>
    <xf numFmtId="37" fontId="2" fillId="0" borderId="0" xfId="42" applyNumberFormat="1" applyFont="1" applyFill="1" applyBorder="1" applyAlignment="1" applyProtection="1">
      <alignment horizontal="right" vertical="center"/>
      <protection/>
    </xf>
    <xf numFmtId="165" fontId="3" fillId="10" borderId="23" xfId="42" applyNumberFormat="1" applyFont="1" applyFill="1" applyBorder="1" applyAlignment="1" applyProtection="1">
      <alignment horizontal="right" vertical="center"/>
      <protection/>
    </xf>
    <xf numFmtId="37" fontId="2" fillId="0" borderId="0" xfId="42" applyNumberFormat="1" applyFont="1" applyFill="1" applyBorder="1" applyAlignment="1" applyProtection="1">
      <alignment horizontal="right" vertical="top"/>
      <protection/>
    </xf>
    <xf numFmtId="165" fontId="3" fillId="10" borderId="20" xfId="42" applyNumberFormat="1" applyFont="1" applyFill="1" applyBorder="1" applyAlignment="1" applyProtection="1">
      <alignment horizontal="right" vertical="top"/>
      <protection/>
    </xf>
    <xf numFmtId="37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23" xfId="0" applyFont="1" applyFill="1" applyBorder="1" applyAlignment="1" applyProtection="1">
      <alignment horizontal="left" vertical="top" wrapText="1"/>
      <protection/>
    </xf>
    <xf numFmtId="37" fontId="3" fillId="0" borderId="13" xfId="0" applyNumberFormat="1" applyFont="1" applyFill="1" applyBorder="1" applyAlignment="1" applyProtection="1">
      <alignment horizontal="left" wrapText="1"/>
      <protection/>
    </xf>
    <xf numFmtId="37" fontId="3" fillId="11" borderId="13" xfId="0" applyNumberFormat="1" applyFont="1" applyFill="1" applyBorder="1" applyAlignment="1" applyProtection="1">
      <alignment horizontal="left" vertical="top" wrapText="1"/>
      <protection/>
    </xf>
    <xf numFmtId="3" fontId="2" fillId="0" borderId="20" xfId="0" applyNumberFormat="1" applyFont="1" applyFill="1" applyBorder="1" applyAlignment="1" applyProtection="1">
      <alignment horizontal="left" vertical="top" wrapText="1"/>
      <protection/>
    </xf>
    <xf numFmtId="0" fontId="2" fillId="0" borderId="20" xfId="0" applyFont="1" applyFill="1" applyBorder="1" applyAlignment="1" applyProtection="1">
      <alignment horizontal="left" vertical="top" wrapText="1"/>
      <protection/>
    </xf>
    <xf numFmtId="0" fontId="2" fillId="10" borderId="13" xfId="0" applyFont="1" applyFill="1" applyBorder="1" applyAlignment="1">
      <alignment horizontal="left" vertical="top" wrapText="1"/>
    </xf>
    <xf numFmtId="0" fontId="2" fillId="0" borderId="25" xfId="0" applyFont="1" applyFill="1" applyBorder="1" applyAlignment="1">
      <alignment horizontal="left" vertical="top" wrapText="1"/>
    </xf>
    <xf numFmtId="0" fontId="2" fillId="0" borderId="25" xfId="0" applyFont="1" applyFill="1" applyBorder="1" applyAlignment="1" applyProtection="1">
      <alignment horizontal="left" vertical="top" wrapText="1"/>
      <protection/>
    </xf>
    <xf numFmtId="0" fontId="2" fillId="4" borderId="13" xfId="0" applyFont="1" applyFill="1" applyBorder="1" applyAlignment="1">
      <alignment horizontal="left" vertical="top" wrapText="1"/>
    </xf>
    <xf numFmtId="0" fontId="2" fillId="0" borderId="20" xfId="0" applyNumberFormat="1" applyFont="1" applyFill="1" applyBorder="1" applyAlignment="1" applyProtection="1">
      <alignment horizontal="left" vertical="top" wrapText="1"/>
      <protection/>
    </xf>
    <xf numFmtId="37" fontId="2" fillId="0" borderId="23" xfId="0" applyNumberFormat="1" applyFont="1" applyFill="1" applyBorder="1" applyAlignment="1" applyProtection="1">
      <alignment horizontal="left" vertical="top" wrapText="1"/>
      <protection/>
    </xf>
    <xf numFmtId="37" fontId="2" fillId="11" borderId="13" xfId="0" applyNumberFormat="1" applyFont="1" applyFill="1" applyBorder="1" applyAlignment="1" applyProtection="1">
      <alignment horizontal="left" vertical="top" wrapText="1"/>
      <protection/>
    </xf>
    <xf numFmtId="37" fontId="2" fillId="0" borderId="25" xfId="0" applyNumberFormat="1" applyFont="1" applyFill="1" applyBorder="1" applyAlignment="1" applyProtection="1">
      <alignment horizontal="left" vertical="top" wrapText="1"/>
      <protection/>
    </xf>
    <xf numFmtId="37" fontId="2" fillId="10" borderId="13" xfId="0" applyNumberFormat="1" applyFont="1" applyFill="1" applyBorder="1" applyAlignment="1" applyProtection="1">
      <alignment horizontal="left" vertical="top" wrapText="1"/>
      <protection/>
    </xf>
    <xf numFmtId="37" fontId="3" fillId="10" borderId="13" xfId="0" applyNumberFormat="1" applyFont="1" applyFill="1" applyBorder="1" applyAlignment="1" applyProtection="1">
      <alignment horizontal="left" vertical="top" wrapText="1"/>
      <protection/>
    </xf>
    <xf numFmtId="0" fontId="2" fillId="0" borderId="20" xfId="0" applyFont="1" applyFill="1" applyBorder="1" applyAlignment="1">
      <alignment horizontal="left" vertical="top" wrapText="1"/>
    </xf>
    <xf numFmtId="37" fontId="3" fillId="0" borderId="0" xfId="42" applyNumberFormat="1" applyFont="1" applyFill="1" applyBorder="1" applyAlignment="1" applyProtection="1">
      <alignment horizontal="right" vertical="center"/>
      <protection/>
    </xf>
    <xf numFmtId="37" fontId="3" fillId="0" borderId="25" xfId="0" applyNumberFormat="1" applyFont="1" applyFill="1" applyBorder="1" applyAlignment="1" applyProtection="1">
      <alignment horizontal="left" vertical="top" wrapText="1"/>
      <protection/>
    </xf>
    <xf numFmtId="37" fontId="3" fillId="11" borderId="11" xfId="42" applyNumberFormat="1" applyFont="1" applyFill="1" applyBorder="1" applyAlignment="1" applyProtection="1">
      <alignment horizontal="right" vertical="center"/>
      <protection/>
    </xf>
    <xf numFmtId="37" fontId="3" fillId="11" borderId="13" xfId="42" applyNumberFormat="1" applyFont="1" applyFill="1" applyBorder="1" applyAlignment="1" applyProtection="1">
      <alignment horizontal="right" vertical="center"/>
      <protection/>
    </xf>
    <xf numFmtId="37" fontId="2" fillId="0" borderId="15" xfId="0" applyNumberFormat="1" applyFont="1" applyFill="1" applyBorder="1" applyAlignment="1" applyProtection="1">
      <alignment vertical="center" wrapText="1"/>
      <protection/>
    </xf>
    <xf numFmtId="37" fontId="3" fillId="0" borderId="0" xfId="0" applyNumberFormat="1" applyFont="1" applyFill="1" applyBorder="1" applyAlignment="1" applyProtection="1">
      <alignment horizontal="left" vertical="top" wrapText="1"/>
      <protection/>
    </xf>
    <xf numFmtId="37" fontId="2" fillId="0" borderId="0" xfId="0" applyNumberFormat="1" applyFont="1" applyFill="1" applyBorder="1" applyAlignment="1" applyProtection="1">
      <alignment horizontal="left" vertical="top" wrapText="1"/>
      <protection/>
    </xf>
    <xf numFmtId="37" fontId="3" fillId="11" borderId="18" xfId="0" applyNumberFormat="1" applyFont="1" applyFill="1" applyBorder="1" applyAlignment="1" applyProtection="1">
      <alignment vertical="center" wrapText="1"/>
      <protection/>
    </xf>
    <xf numFmtId="37" fontId="3" fillId="0" borderId="20" xfId="0" applyNumberFormat="1" applyFont="1" applyFill="1" applyBorder="1" applyAlignment="1" applyProtection="1">
      <alignment vertical="center" wrapText="1"/>
      <protection/>
    </xf>
    <xf numFmtId="37" fontId="3" fillId="0" borderId="20" xfId="0" applyNumberFormat="1" applyFont="1" applyFill="1" applyBorder="1" applyAlignment="1" applyProtection="1">
      <alignment horizontal="center" vertical="top" wrapText="1"/>
      <protection/>
    </xf>
    <xf numFmtId="37" fontId="2" fillId="0" borderId="20" xfId="0" applyNumberFormat="1" applyFont="1" applyFill="1" applyBorder="1" applyAlignment="1" applyProtection="1">
      <alignment horizontal="center" vertical="top" wrapText="1"/>
      <protection/>
    </xf>
    <xf numFmtId="37" fontId="2" fillId="0" borderId="23" xfId="0" applyNumberFormat="1" applyFont="1" applyFill="1" applyBorder="1" applyAlignment="1" applyProtection="1">
      <alignment horizontal="center" vertical="top" wrapText="1"/>
      <protection/>
    </xf>
    <xf numFmtId="37" fontId="8" fillId="0" borderId="15" xfId="0" applyNumberFormat="1" applyFont="1" applyFill="1" applyBorder="1" applyAlignment="1" applyProtection="1">
      <alignment vertical="top"/>
      <protection/>
    </xf>
    <xf numFmtId="37" fontId="3" fillId="0" borderId="0" xfId="0" applyNumberFormat="1" applyFont="1" applyFill="1" applyBorder="1" applyAlignment="1" applyProtection="1">
      <alignment horizontal="left" vertical="top" wrapText="1"/>
      <protection/>
    </xf>
    <xf numFmtId="37" fontId="3" fillId="0" borderId="0" xfId="0" applyNumberFormat="1" applyFont="1" applyFill="1" applyAlignment="1" applyProtection="1">
      <alignment vertical="top" wrapText="1"/>
      <protection/>
    </xf>
    <xf numFmtId="37" fontId="2" fillId="0" borderId="0" xfId="64" applyNumberFormat="1" applyFont="1" applyFill="1" applyAlignment="1" applyProtection="1">
      <alignment vertical="top"/>
      <protection/>
    </xf>
    <xf numFmtId="37" fontId="2" fillId="0" borderId="0" xfId="46" applyNumberFormat="1" applyFont="1" applyFill="1" applyBorder="1" applyAlignment="1" applyProtection="1">
      <alignment horizontal="right" vertical="top"/>
      <protection/>
    </xf>
    <xf numFmtId="0" fontId="2" fillId="0" borderId="20" xfId="64" applyFont="1" applyFill="1" applyBorder="1" applyAlignment="1" applyProtection="1">
      <alignment horizontal="left" vertical="top" wrapText="1"/>
      <protection/>
    </xf>
    <xf numFmtId="37" fontId="2" fillId="0" borderId="0" xfId="46" applyNumberFormat="1" applyFont="1" applyFill="1" applyBorder="1" applyAlignment="1" applyProtection="1">
      <alignment horizontal="right" vertical="top"/>
      <protection/>
    </xf>
    <xf numFmtId="37" fontId="2" fillId="0" borderId="0" xfId="61" applyNumberFormat="1" applyFont="1" applyFill="1" applyAlignment="1" applyProtection="1">
      <alignment horizontal="right" vertical="top"/>
      <protection/>
    </xf>
    <xf numFmtId="0" fontId="2" fillId="0" borderId="20" xfId="61" applyNumberFormat="1" applyFont="1" applyFill="1" applyBorder="1" applyAlignment="1" applyProtection="1">
      <alignment horizontal="left" vertical="top" wrapText="1"/>
      <protection/>
    </xf>
    <xf numFmtId="37" fontId="2" fillId="0" borderId="0" xfId="61" applyNumberFormat="1" applyFont="1" applyFill="1" applyAlignment="1" applyProtection="1">
      <alignment vertical="top"/>
      <protection/>
    </xf>
    <xf numFmtId="37" fontId="2" fillId="0" borderId="0" xfId="46" applyNumberFormat="1" applyFont="1" applyFill="1" applyBorder="1" applyAlignment="1" applyProtection="1">
      <alignment horizontal="right" vertical="top"/>
      <protection/>
    </xf>
    <xf numFmtId="0" fontId="2" fillId="0" borderId="20" xfId="61" applyFont="1" applyFill="1" applyBorder="1" applyAlignment="1" applyProtection="1">
      <alignment horizontal="left" vertical="top" wrapText="1"/>
      <protection/>
    </xf>
    <xf numFmtId="37" fontId="3" fillId="34" borderId="0" xfId="0" applyNumberFormat="1" applyFont="1" applyFill="1" applyAlignment="1" applyProtection="1">
      <alignment horizontal="center" vertical="top"/>
      <protection/>
    </xf>
    <xf numFmtId="165" fontId="3" fillId="0" borderId="13" xfId="42" applyNumberFormat="1" applyFont="1" applyFill="1" applyBorder="1" applyAlignment="1" applyProtection="1">
      <alignment horizontal="right" vertical="center"/>
      <protection/>
    </xf>
    <xf numFmtId="37" fontId="3" fillId="0" borderId="18" xfId="0" applyNumberFormat="1" applyFont="1" applyFill="1" applyBorder="1" applyAlignment="1" applyProtection="1">
      <alignment horizontal="center" vertical="center" wrapText="1"/>
      <protection/>
    </xf>
    <xf numFmtId="37" fontId="9" fillId="32" borderId="11" xfId="0" applyNumberFormat="1" applyFont="1" applyFill="1" applyBorder="1" applyAlignment="1" applyProtection="1">
      <alignment horizontal="center" textRotation="90" wrapText="1"/>
      <protection/>
    </xf>
    <xf numFmtId="37" fontId="3" fillId="32" borderId="0" xfId="0" applyNumberFormat="1" applyFont="1" applyFill="1" applyAlignment="1" applyProtection="1">
      <alignment horizontal="center" vertical="top"/>
      <protection/>
    </xf>
    <xf numFmtId="37" fontId="0" fillId="0" borderId="0" xfId="0" applyNumberFormat="1" applyAlignment="1">
      <alignment/>
    </xf>
    <xf numFmtId="165" fontId="0" fillId="0" borderId="0" xfId="42" applyNumberFormat="1" applyFont="1" applyAlignment="1">
      <alignment/>
    </xf>
    <xf numFmtId="0" fontId="0" fillId="34" borderId="0" xfId="0" applyFill="1" applyAlignment="1">
      <alignment/>
    </xf>
    <xf numFmtId="37" fontId="0" fillId="34" borderId="0" xfId="0" applyNumberFormat="1" applyFill="1" applyAlignment="1">
      <alignment/>
    </xf>
    <xf numFmtId="165" fontId="0" fillId="34" borderId="0" xfId="42" applyNumberFormat="1" applyFont="1" applyFill="1" applyAlignment="1">
      <alignment/>
    </xf>
    <xf numFmtId="0" fontId="0" fillId="0" borderId="0" xfId="0" applyFill="1" applyAlignment="1">
      <alignment/>
    </xf>
    <xf numFmtId="0" fontId="2" fillId="0" borderId="20" xfId="0" applyFont="1" applyFill="1" applyBorder="1" applyAlignment="1" applyProtection="1">
      <alignment horizontal="left" vertical="top" wrapText="1"/>
      <protection/>
    </xf>
    <xf numFmtId="3" fontId="2" fillId="0" borderId="26" xfId="0" applyNumberFormat="1" applyFont="1" applyFill="1" applyBorder="1" applyAlignment="1" applyProtection="1">
      <alignment vertical="top"/>
      <protection/>
    </xf>
    <xf numFmtId="3" fontId="2" fillId="35" borderId="26" xfId="0" applyNumberFormat="1" applyFont="1" applyFill="1" applyBorder="1" applyAlignment="1" applyProtection="1">
      <alignment vertical="top"/>
      <protection/>
    </xf>
    <xf numFmtId="37" fontId="2" fillId="35" borderId="26" xfId="0" applyNumberFormat="1" applyFont="1" applyFill="1" applyBorder="1" applyAlignment="1" applyProtection="1">
      <alignment vertical="center" wrapText="1"/>
      <protection/>
    </xf>
    <xf numFmtId="37" fontId="2" fillId="0" borderId="20" xfId="0" applyNumberFormat="1" applyFont="1" applyFill="1" applyBorder="1" applyAlignment="1" applyProtection="1">
      <alignment vertical="top" wrapText="1"/>
      <protection/>
    </xf>
    <xf numFmtId="43" fontId="3" fillId="0" borderId="11" xfId="42" applyFont="1" applyFill="1" applyBorder="1" applyAlignment="1" applyProtection="1">
      <alignment horizontal="right" vertical="center"/>
      <protection/>
    </xf>
    <xf numFmtId="43" fontId="3" fillId="10" borderId="20" xfId="42" applyFont="1" applyFill="1" applyBorder="1" applyAlignment="1" applyProtection="1">
      <alignment horizontal="right" vertical="top"/>
      <protection/>
    </xf>
    <xf numFmtId="43" fontId="3" fillId="11" borderId="18" xfId="42" applyFont="1" applyFill="1" applyBorder="1" applyAlignment="1" applyProtection="1">
      <alignment horizontal="right" vertical="center"/>
      <protection/>
    </xf>
    <xf numFmtId="43" fontId="3" fillId="0" borderId="13" xfId="42" applyFont="1" applyFill="1" applyBorder="1" applyAlignment="1" applyProtection="1">
      <alignment horizontal="right" vertical="center"/>
      <protection/>
    </xf>
    <xf numFmtId="43" fontId="3" fillId="10" borderId="13" xfId="42" applyFont="1" applyFill="1" applyBorder="1" applyAlignment="1" applyProtection="1">
      <alignment horizontal="right" vertical="center"/>
      <protection/>
    </xf>
    <xf numFmtId="37" fontId="7" fillId="0" borderId="12" xfId="0" applyNumberFormat="1" applyFont="1" applyFill="1" applyBorder="1" applyAlignment="1" applyProtection="1">
      <alignment horizontal="center" vertical="center"/>
      <protection/>
    </xf>
    <xf numFmtId="37" fontId="3" fillId="0" borderId="0" xfId="0" applyNumberFormat="1" applyFont="1" applyFill="1" applyAlignment="1" applyProtection="1">
      <alignment vertical="top" wrapText="1"/>
      <protection/>
    </xf>
    <xf numFmtId="37" fontId="2" fillId="0" borderId="0" xfId="0" applyNumberFormat="1" applyFont="1" applyFill="1" applyAlignment="1" applyProtection="1">
      <alignment vertical="top" wrapText="1"/>
      <protection/>
    </xf>
    <xf numFmtId="37" fontId="3" fillId="0" borderId="15" xfId="0" applyNumberFormat="1" applyFont="1" applyFill="1" applyBorder="1" applyAlignment="1" applyProtection="1">
      <alignment horizontal="left" vertical="top" wrapText="1"/>
      <protection/>
    </xf>
    <xf numFmtId="37" fontId="3" fillId="0" borderId="0" xfId="0" applyNumberFormat="1" applyFont="1" applyFill="1" applyBorder="1" applyAlignment="1" applyProtection="1">
      <alignment horizontal="left" vertical="top" wrapText="1"/>
      <protection/>
    </xf>
    <xf numFmtId="37" fontId="3" fillId="10" borderId="18" xfId="0" applyNumberFormat="1" applyFont="1" applyFill="1" applyBorder="1" applyAlignment="1" applyProtection="1">
      <alignment horizontal="right" vertical="center" wrapText="1"/>
      <protection/>
    </xf>
    <xf numFmtId="37" fontId="3" fillId="10" borderId="17" xfId="0" applyNumberFormat="1" applyFont="1" applyFill="1" applyBorder="1" applyAlignment="1" applyProtection="1">
      <alignment horizontal="right" vertical="center" wrapText="1"/>
      <protection/>
    </xf>
    <xf numFmtId="37" fontId="3" fillId="10" borderId="27" xfId="0" applyNumberFormat="1" applyFont="1" applyFill="1" applyBorder="1" applyAlignment="1" applyProtection="1">
      <alignment horizontal="right" vertical="center" wrapText="1"/>
      <protection/>
    </xf>
    <xf numFmtId="37" fontId="3" fillId="10" borderId="16" xfId="0" applyNumberFormat="1" applyFont="1" applyFill="1" applyBorder="1" applyAlignment="1" applyProtection="1">
      <alignment horizontal="right" vertical="center" wrapText="1"/>
      <protection/>
    </xf>
    <xf numFmtId="37" fontId="3" fillId="10" borderId="21" xfId="0" applyNumberFormat="1" applyFont="1" applyFill="1" applyBorder="1" applyAlignment="1" applyProtection="1">
      <alignment horizontal="right" vertical="center" wrapText="1"/>
      <protection/>
    </xf>
    <xf numFmtId="37" fontId="3" fillId="11" borderId="18" xfId="0" applyNumberFormat="1" applyFont="1" applyFill="1" applyBorder="1" applyAlignment="1" applyProtection="1">
      <alignment horizontal="left" vertical="center" wrapText="1"/>
      <protection/>
    </xf>
    <xf numFmtId="37" fontId="3" fillId="11" borderId="17" xfId="0" applyNumberFormat="1" applyFont="1" applyFill="1" applyBorder="1" applyAlignment="1" applyProtection="1">
      <alignment horizontal="left" vertical="center" wrapText="1"/>
      <protection/>
    </xf>
    <xf numFmtId="37" fontId="3" fillId="32" borderId="18" xfId="0" applyNumberFormat="1" applyFont="1" applyFill="1" applyBorder="1" applyAlignment="1" applyProtection="1">
      <alignment horizontal="left" vertical="center" wrapText="1"/>
      <protection/>
    </xf>
    <xf numFmtId="37" fontId="3" fillId="32" borderId="11" xfId="0" applyNumberFormat="1" applyFont="1" applyFill="1" applyBorder="1" applyAlignment="1" applyProtection="1">
      <alignment horizontal="left" vertical="center" wrapText="1"/>
      <protection/>
    </xf>
    <xf numFmtId="37" fontId="3" fillId="32" borderId="17" xfId="0" applyNumberFormat="1" applyFont="1" applyFill="1" applyBorder="1" applyAlignment="1" applyProtection="1">
      <alignment horizontal="left" vertical="center" wrapText="1"/>
      <protection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3 2" xfId="47"/>
    <cellStyle name="Currency" xfId="48"/>
    <cellStyle name="Currency [0]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" xfId="59"/>
    <cellStyle name="Normal 3" xfId="60"/>
    <cellStyle name="Normal 3 2" xfId="61"/>
    <cellStyle name="Normal 3 2 2" xfId="62"/>
    <cellStyle name="Normal 3 3" xfId="63"/>
    <cellStyle name="Normal 4" xfId="64"/>
    <cellStyle name="Normal 4 2" xfId="65"/>
    <cellStyle name="Note" xfId="66"/>
    <cellStyle name="Output" xfId="67"/>
    <cellStyle name="Percent" xfId="68"/>
    <cellStyle name="PSChar" xfId="69"/>
    <cellStyle name="PSDate" xfId="70"/>
    <cellStyle name="PSDec" xfId="71"/>
    <cellStyle name="PSHeading" xfId="72"/>
    <cellStyle name="PSInt" xfId="73"/>
    <cellStyle name="PSSpacer" xfId="74"/>
    <cellStyle name="Title" xfId="75"/>
    <cellStyle name="Total" xfId="76"/>
    <cellStyle name="Warning Text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OA\FIN\FIN%20-%20Budget%20&amp;%20Management\KEEP\AFDETA%20FY%20201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Y2015_AFDETA"/>
      <sheetName val="Sheet2"/>
      <sheetName val="Sheet3"/>
    </sheetNames>
    <sheetDataSet>
      <sheetData sheetId="0">
        <row r="1822">
          <cell r="AD1822">
            <v>7297606004.690001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14"/>
  <sheetViews>
    <sheetView showGridLines="0" tabSelected="1" zoomScale="65" zoomScaleNormal="65" zoomScaleSheetLayoutView="50" zoomScalePageLayoutView="0" workbookViewId="0" topLeftCell="A1">
      <pane xSplit="5" ySplit="8" topLeftCell="L30" activePane="bottomRight" state="frozen"/>
      <selection pane="topLeft" activeCell="A1" sqref="A1"/>
      <selection pane="topRight" activeCell="F1" sqref="F1"/>
      <selection pane="bottomLeft" activeCell="A8" sqref="A8"/>
      <selection pane="bottomRight" activeCell="T115" sqref="T115"/>
    </sheetView>
  </sheetViews>
  <sheetFormatPr defaultColWidth="9.140625" defaultRowHeight="16.5" customHeight="1"/>
  <cols>
    <col min="1" max="1" width="10.140625" style="124" customWidth="1"/>
    <col min="2" max="2" width="2.421875" style="4" customWidth="1"/>
    <col min="3" max="3" width="32.7109375" style="43" customWidth="1"/>
    <col min="4" max="4" width="42.7109375" style="3" customWidth="1"/>
    <col min="5" max="5" width="9.57421875" style="12" customWidth="1"/>
    <col min="6" max="6" width="25.57421875" style="5" customWidth="1"/>
    <col min="7" max="7" width="18.57421875" style="2" customWidth="1"/>
    <col min="8" max="8" width="21.421875" style="2" bestFit="1" customWidth="1"/>
    <col min="9" max="9" width="17.7109375" style="2" customWidth="1"/>
    <col min="10" max="10" width="19.28125" style="2" customWidth="1"/>
    <col min="11" max="11" width="18.00390625" style="2" customWidth="1"/>
    <col min="12" max="12" width="20.8515625" style="2" bestFit="1" customWidth="1"/>
    <col min="13" max="13" width="15.7109375" style="2" customWidth="1"/>
    <col min="14" max="14" width="14.8515625" style="2" customWidth="1"/>
    <col min="15" max="15" width="16.421875" style="2" customWidth="1"/>
    <col min="16" max="16" width="17.7109375" style="2" customWidth="1"/>
    <col min="17" max="17" width="23.28125" style="67" bestFit="1" customWidth="1"/>
    <col min="18" max="18" width="90.7109375" style="83" customWidth="1"/>
    <col min="19" max="16384" width="9.140625" style="1" customWidth="1"/>
  </cols>
  <sheetData>
    <row r="1" spans="1:17" ht="21.75" customHeight="1">
      <c r="A1" s="70"/>
      <c r="B1" s="10"/>
      <c r="C1" s="15"/>
      <c r="D1" s="18"/>
      <c r="E1" s="17"/>
      <c r="F1" s="145" t="s">
        <v>89</v>
      </c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</row>
    <row r="2" spans="1:18" s="7" customFormat="1" ht="76.5" customHeight="1">
      <c r="A2" s="127" t="s">
        <v>135</v>
      </c>
      <c r="B2" s="21" t="s">
        <v>0</v>
      </c>
      <c r="C2" s="13"/>
      <c r="D2" s="37" t="s">
        <v>11</v>
      </c>
      <c r="E2" s="14" t="s">
        <v>90</v>
      </c>
      <c r="F2" s="46" t="s">
        <v>137</v>
      </c>
      <c r="G2" s="14" t="s">
        <v>7</v>
      </c>
      <c r="H2" s="14" t="s">
        <v>6</v>
      </c>
      <c r="I2" s="14" t="s">
        <v>30</v>
      </c>
      <c r="J2" s="14" t="s">
        <v>8</v>
      </c>
      <c r="K2" s="14" t="s">
        <v>9</v>
      </c>
      <c r="L2" s="14" t="s">
        <v>28</v>
      </c>
      <c r="M2" s="14" t="s">
        <v>12</v>
      </c>
      <c r="N2" s="46" t="s">
        <v>34</v>
      </c>
      <c r="O2" s="46" t="s">
        <v>35</v>
      </c>
      <c r="P2" s="14" t="s">
        <v>32</v>
      </c>
      <c r="Q2" s="56" t="s">
        <v>10</v>
      </c>
      <c r="R2" s="85" t="s">
        <v>263</v>
      </c>
    </row>
    <row r="3" spans="1:18" s="26" customFormat="1" ht="29.25" customHeight="1">
      <c r="A3" s="72"/>
      <c r="B3" s="24"/>
      <c r="C3" s="25"/>
      <c r="D3" s="107" t="s">
        <v>93</v>
      </c>
      <c r="E3" s="39"/>
      <c r="F3" s="75">
        <f>1439392691+600000</f>
        <v>1439992691</v>
      </c>
      <c r="G3" s="76">
        <v>260731042</v>
      </c>
      <c r="H3" s="76">
        <v>1513944268</v>
      </c>
      <c r="I3" s="76">
        <v>346633868</v>
      </c>
      <c r="J3" s="76">
        <v>1275159688</v>
      </c>
      <c r="K3" s="76">
        <f>268592899-600000</f>
        <v>267992899</v>
      </c>
      <c r="L3" s="76">
        <v>1970359500</v>
      </c>
      <c r="M3" s="76">
        <v>1398101</v>
      </c>
      <c r="N3" s="76">
        <v>2502313</v>
      </c>
      <c r="O3" s="77">
        <v>84425005</v>
      </c>
      <c r="P3" s="77">
        <v>156919934</v>
      </c>
      <c r="Q3" s="58">
        <f>SUM(F3:P3)</f>
        <v>7320059309</v>
      </c>
      <c r="R3" s="86"/>
    </row>
    <row r="4" spans="1:18" s="26" customFormat="1" ht="7.5" customHeight="1">
      <c r="A4" s="72"/>
      <c r="B4" s="24"/>
      <c r="C4" s="25"/>
      <c r="D4" s="25"/>
      <c r="E4" s="108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61"/>
      <c r="R4" s="101"/>
    </row>
    <row r="5" spans="1:19" s="26" customFormat="1" ht="29.25" customHeight="1">
      <c r="A5" s="72"/>
      <c r="B5" s="24"/>
      <c r="C5" s="34"/>
      <c r="D5" s="34" t="s">
        <v>91</v>
      </c>
      <c r="E5" s="108"/>
      <c r="F5" s="100">
        <v>-22052507</v>
      </c>
      <c r="G5" s="100"/>
      <c r="H5" s="100"/>
      <c r="I5" s="100">
        <v>-28021</v>
      </c>
      <c r="J5" s="100">
        <v>-12708092</v>
      </c>
      <c r="K5" s="100"/>
      <c r="L5" s="100">
        <v>-13165710</v>
      </c>
      <c r="M5" s="100"/>
      <c r="N5" s="100"/>
      <c r="O5" s="100">
        <v>-149200</v>
      </c>
      <c r="P5" s="100">
        <v>-1139045</v>
      </c>
      <c r="Q5" s="82">
        <f>+F5+SUM(G5:P5)</f>
        <v>-49242575</v>
      </c>
      <c r="R5" s="104" t="s">
        <v>249</v>
      </c>
      <c r="S5" s="104"/>
    </row>
    <row r="6" spans="1:19" s="26" customFormat="1" ht="29.25" customHeight="1">
      <c r="A6" s="72"/>
      <c r="B6" s="24"/>
      <c r="C6" s="34"/>
      <c r="D6" s="34" t="s">
        <v>38</v>
      </c>
      <c r="E6" s="108"/>
      <c r="F6" s="100"/>
      <c r="G6" s="100">
        <v>-1710448</v>
      </c>
      <c r="H6" s="100"/>
      <c r="I6" s="100"/>
      <c r="J6" s="100"/>
      <c r="K6" s="100"/>
      <c r="L6" s="100">
        <v>-4436385</v>
      </c>
      <c r="M6" s="100"/>
      <c r="N6" s="100"/>
      <c r="O6" s="100"/>
      <c r="P6" s="100"/>
      <c r="Q6" s="82">
        <f>+F6+SUM(G6:P6)</f>
        <v>-6146833</v>
      </c>
      <c r="R6" s="104" t="s">
        <v>250</v>
      </c>
      <c r="S6" s="104"/>
    </row>
    <row r="7" spans="1:18" s="26" customFormat="1" ht="29.25" customHeight="1">
      <c r="A7" s="72"/>
      <c r="B7" s="24"/>
      <c r="C7" s="25"/>
      <c r="D7" s="107" t="s">
        <v>262</v>
      </c>
      <c r="E7" s="39"/>
      <c r="F7" s="102">
        <f aca="true" t="shared" si="0" ref="F7:Q7">SUM(F3:F6)</f>
        <v>1417940184</v>
      </c>
      <c r="G7" s="102">
        <f t="shared" si="0"/>
        <v>259020594</v>
      </c>
      <c r="H7" s="102">
        <f t="shared" si="0"/>
        <v>1513944268</v>
      </c>
      <c r="I7" s="102">
        <f t="shared" si="0"/>
        <v>346605847</v>
      </c>
      <c r="J7" s="102">
        <f t="shared" si="0"/>
        <v>1262451596</v>
      </c>
      <c r="K7" s="102">
        <f t="shared" si="0"/>
        <v>267992899</v>
      </c>
      <c r="L7" s="102">
        <f t="shared" si="0"/>
        <v>1952757405</v>
      </c>
      <c r="M7" s="102">
        <f t="shared" si="0"/>
        <v>1398101</v>
      </c>
      <c r="N7" s="102">
        <f t="shared" si="0"/>
        <v>2502313</v>
      </c>
      <c r="O7" s="102">
        <f t="shared" si="0"/>
        <v>84275805</v>
      </c>
      <c r="P7" s="102">
        <f t="shared" si="0"/>
        <v>155780889</v>
      </c>
      <c r="Q7" s="103">
        <f t="shared" si="0"/>
        <v>7264669901</v>
      </c>
      <c r="R7" s="86"/>
    </row>
    <row r="8" spans="1:18" s="26" customFormat="1" ht="10.5" customHeight="1">
      <c r="A8" s="72"/>
      <c r="B8" s="24"/>
      <c r="C8" s="25"/>
      <c r="D8" s="25"/>
      <c r="E8" s="108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61"/>
      <c r="R8" s="101"/>
    </row>
    <row r="9" spans="1:18" s="6" customFormat="1" ht="16.5" customHeight="1">
      <c r="A9" s="71"/>
      <c r="B9" s="148" t="s">
        <v>92</v>
      </c>
      <c r="C9" s="149"/>
      <c r="D9" s="149"/>
      <c r="E9" s="109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57"/>
      <c r="R9" s="50"/>
    </row>
    <row r="10" spans="1:18" s="6" customFormat="1" ht="7.5" customHeight="1">
      <c r="A10" s="71"/>
      <c r="B10" s="38"/>
      <c r="C10" s="44"/>
      <c r="D10" s="105"/>
      <c r="E10" s="10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57"/>
      <c r="R10" s="50"/>
    </row>
    <row r="11" spans="1:18" ht="16.5" customHeight="1">
      <c r="A11" s="70"/>
      <c r="B11" s="22" t="s">
        <v>1</v>
      </c>
      <c r="C11" s="8"/>
      <c r="E11" s="110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59"/>
      <c r="R11" s="50"/>
    </row>
    <row r="12" spans="1:18" ht="28.5">
      <c r="A12" s="70"/>
      <c r="B12" s="22"/>
      <c r="C12" s="3" t="s">
        <v>81</v>
      </c>
      <c r="D12" s="3" t="s">
        <v>57</v>
      </c>
      <c r="E12" s="110" t="s">
        <v>82</v>
      </c>
      <c r="F12" s="81">
        <v>-531924</v>
      </c>
      <c r="G12" s="81"/>
      <c r="H12" s="81"/>
      <c r="I12" s="81"/>
      <c r="J12" s="81">
        <v>895516</v>
      </c>
      <c r="K12" s="81"/>
      <c r="L12" s="81"/>
      <c r="M12" s="81"/>
      <c r="N12" s="81"/>
      <c r="O12" s="81"/>
      <c r="P12" s="81">
        <v>-54212</v>
      </c>
      <c r="Q12" s="82">
        <f aca="true" t="shared" si="1" ref="Q12:Q19">+F12+SUM(G12:P12)</f>
        <v>309380</v>
      </c>
      <c r="R12" s="50" t="s">
        <v>170</v>
      </c>
    </row>
    <row r="13" spans="1:18" ht="72.75" customHeight="1" hidden="1">
      <c r="A13" s="70"/>
      <c r="B13" s="22"/>
      <c r="C13" s="3" t="s">
        <v>40</v>
      </c>
      <c r="D13" s="106" t="s">
        <v>40</v>
      </c>
      <c r="E13" s="110" t="s">
        <v>41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57">
        <f t="shared" si="1"/>
        <v>0</v>
      </c>
      <c r="R13" s="88"/>
    </row>
    <row r="14" spans="1:18" ht="15">
      <c r="A14" s="128" t="s">
        <v>136</v>
      </c>
      <c r="B14" s="22"/>
      <c r="C14" s="3" t="s">
        <v>100</v>
      </c>
      <c r="D14" s="3" t="s">
        <v>101</v>
      </c>
      <c r="E14" s="110" t="s">
        <v>102</v>
      </c>
      <c r="F14" s="81">
        <f>-12147-9056</f>
        <v>-21203</v>
      </c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2">
        <f t="shared" si="1"/>
        <v>-21203</v>
      </c>
      <c r="R14" s="135" t="s">
        <v>232</v>
      </c>
    </row>
    <row r="15" spans="1:18" ht="15">
      <c r="A15" s="128" t="s">
        <v>136</v>
      </c>
      <c r="B15" s="22"/>
      <c r="C15" s="3" t="s">
        <v>104</v>
      </c>
      <c r="D15" s="3" t="s">
        <v>103</v>
      </c>
      <c r="E15" s="110" t="s">
        <v>105</v>
      </c>
      <c r="F15" s="81">
        <f>-204-152</f>
        <v>-356</v>
      </c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2">
        <f t="shared" si="1"/>
        <v>-356</v>
      </c>
      <c r="R15" s="88" t="s">
        <v>165</v>
      </c>
    </row>
    <row r="16" spans="1:18" ht="15">
      <c r="A16" s="70"/>
      <c r="B16" s="22"/>
      <c r="C16" s="3" t="s">
        <v>50</v>
      </c>
      <c r="D16" s="3" t="s">
        <v>51</v>
      </c>
      <c r="E16" s="110" t="s">
        <v>77</v>
      </c>
      <c r="F16" s="9">
        <v>-517000</v>
      </c>
      <c r="G16" s="9"/>
      <c r="H16" s="9"/>
      <c r="I16" s="9"/>
      <c r="J16" s="9"/>
      <c r="K16" s="9"/>
      <c r="L16" s="9"/>
      <c r="M16" s="9"/>
      <c r="N16" s="9"/>
      <c r="O16" s="9"/>
      <c r="P16" s="5"/>
      <c r="Q16" s="82">
        <f t="shared" si="1"/>
        <v>-517000</v>
      </c>
      <c r="R16" s="88" t="s">
        <v>233</v>
      </c>
    </row>
    <row r="17" spans="1:18" ht="13.5">
      <c r="A17" s="70"/>
      <c r="B17" s="22"/>
      <c r="C17" s="3" t="s">
        <v>50</v>
      </c>
      <c r="D17" s="3" t="s">
        <v>95</v>
      </c>
      <c r="E17" s="110" t="s">
        <v>96</v>
      </c>
      <c r="F17" s="81">
        <v>150000</v>
      </c>
      <c r="G17" s="81"/>
      <c r="H17" s="81">
        <v>350000</v>
      </c>
      <c r="I17" s="81"/>
      <c r="J17" s="81"/>
      <c r="K17" s="81"/>
      <c r="L17" s="81"/>
      <c r="M17" s="81"/>
      <c r="N17" s="81"/>
      <c r="O17" s="81"/>
      <c r="P17" s="5"/>
      <c r="Q17" s="82">
        <f t="shared" si="1"/>
        <v>500000</v>
      </c>
      <c r="R17" s="88" t="s">
        <v>234</v>
      </c>
    </row>
    <row r="18" spans="1:18" ht="13.5">
      <c r="A18" s="70"/>
      <c r="B18" s="22"/>
      <c r="C18" s="3" t="s">
        <v>50</v>
      </c>
      <c r="D18" s="3" t="s">
        <v>199</v>
      </c>
      <c r="E18" s="110" t="s">
        <v>200</v>
      </c>
      <c r="F18" s="81"/>
      <c r="G18" s="81"/>
      <c r="H18" s="81">
        <v>25459</v>
      </c>
      <c r="I18" s="81"/>
      <c r="J18" s="81"/>
      <c r="K18" s="81"/>
      <c r="L18" s="81"/>
      <c r="M18" s="81"/>
      <c r="N18" s="81"/>
      <c r="O18" s="81"/>
      <c r="P18" s="5"/>
      <c r="Q18" s="82">
        <f t="shared" si="1"/>
        <v>25459</v>
      </c>
      <c r="R18" s="50" t="s">
        <v>99</v>
      </c>
    </row>
    <row r="19" spans="1:18" ht="13.5">
      <c r="A19" s="70"/>
      <c r="B19" s="22"/>
      <c r="C19" s="3" t="s">
        <v>52</v>
      </c>
      <c r="D19" s="3" t="s">
        <v>53</v>
      </c>
      <c r="E19" s="110" t="s">
        <v>78</v>
      </c>
      <c r="F19" s="9">
        <v>15906.55</v>
      </c>
      <c r="G19" s="9"/>
      <c r="H19" s="9"/>
      <c r="I19" s="9"/>
      <c r="J19" s="9"/>
      <c r="K19" s="9"/>
      <c r="L19" s="9"/>
      <c r="M19" s="9"/>
      <c r="N19" s="9"/>
      <c r="O19" s="9"/>
      <c r="P19" s="5"/>
      <c r="Q19" s="82">
        <f t="shared" si="1"/>
        <v>15906.55</v>
      </c>
      <c r="R19" s="135" t="s">
        <v>235</v>
      </c>
    </row>
    <row r="20" spans="1:18" ht="9" customHeight="1">
      <c r="A20" s="70"/>
      <c r="B20" s="22"/>
      <c r="C20" s="3"/>
      <c r="E20" s="111"/>
      <c r="F20" s="9"/>
      <c r="G20" s="9"/>
      <c r="H20" s="9"/>
      <c r="I20" s="9"/>
      <c r="J20" s="9"/>
      <c r="K20" s="9"/>
      <c r="L20" s="9"/>
      <c r="M20" s="9"/>
      <c r="N20" s="9"/>
      <c r="O20" s="9"/>
      <c r="P20" s="5"/>
      <c r="Q20" s="82"/>
      <c r="R20" s="88"/>
    </row>
    <row r="21" spans="1:18" s="33" customFormat="1" ht="16.5" customHeight="1">
      <c r="A21" s="73"/>
      <c r="B21" s="27"/>
      <c r="C21" s="34"/>
      <c r="D21" s="35" t="s">
        <v>13</v>
      </c>
      <c r="E21" s="36"/>
      <c r="F21" s="32">
        <f aca="true" t="shared" si="2" ref="F21:Q21">SUBTOTAL(9,F11:F20)</f>
        <v>-904576.45</v>
      </c>
      <c r="G21" s="140">
        <f t="shared" si="2"/>
        <v>0</v>
      </c>
      <c r="H21" s="32">
        <f t="shared" si="2"/>
        <v>375459</v>
      </c>
      <c r="I21" s="140">
        <f t="shared" si="2"/>
        <v>0</v>
      </c>
      <c r="J21" s="32">
        <f t="shared" si="2"/>
        <v>895516</v>
      </c>
      <c r="K21" s="140">
        <f t="shared" si="2"/>
        <v>0</v>
      </c>
      <c r="L21" s="140">
        <f t="shared" si="2"/>
        <v>0</v>
      </c>
      <c r="M21" s="140">
        <f t="shared" si="2"/>
        <v>0</v>
      </c>
      <c r="N21" s="140">
        <f t="shared" si="2"/>
        <v>0</v>
      </c>
      <c r="O21" s="140">
        <f t="shared" si="2"/>
        <v>0</v>
      </c>
      <c r="P21" s="32">
        <f t="shared" si="2"/>
        <v>-54212</v>
      </c>
      <c r="Q21" s="60">
        <f t="shared" si="2"/>
        <v>312186.55</v>
      </c>
      <c r="R21" s="89"/>
    </row>
    <row r="22" spans="1:18" ht="9.75" customHeight="1">
      <c r="A22" s="70"/>
      <c r="B22" s="22"/>
      <c r="C22" s="3"/>
      <c r="D22" s="16"/>
      <c r="E22" s="20"/>
      <c r="F22" s="11"/>
      <c r="G22" s="9"/>
      <c r="H22" s="9"/>
      <c r="I22" s="11"/>
      <c r="J22" s="9"/>
      <c r="K22" s="9"/>
      <c r="L22" s="9"/>
      <c r="M22" s="9"/>
      <c r="N22" s="9"/>
      <c r="O22" s="9"/>
      <c r="P22" s="11"/>
      <c r="Q22" s="57"/>
      <c r="R22" s="99"/>
    </row>
    <row r="23" spans="1:18" ht="16.5" customHeight="1">
      <c r="A23" s="70"/>
      <c r="B23" s="22" t="s">
        <v>2</v>
      </c>
      <c r="C23" s="3"/>
      <c r="D23" s="16"/>
      <c r="E23" s="1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57"/>
      <c r="R23" s="50"/>
    </row>
    <row r="24" spans="1:18" ht="16.5" customHeight="1">
      <c r="A24" s="70"/>
      <c r="B24" s="22"/>
      <c r="C24" s="3" t="s">
        <v>97</v>
      </c>
      <c r="D24" s="16" t="s">
        <v>97</v>
      </c>
      <c r="E24" s="19" t="s">
        <v>98</v>
      </c>
      <c r="F24" s="81">
        <f>40000</f>
        <v>40000</v>
      </c>
      <c r="G24" s="81"/>
      <c r="H24" s="81"/>
      <c r="J24" s="81"/>
      <c r="K24" s="81"/>
      <c r="L24" s="81"/>
      <c r="M24" s="81"/>
      <c r="N24" s="81"/>
      <c r="O24" s="81"/>
      <c r="P24" s="81"/>
      <c r="Q24" s="82">
        <f>+F24+SUM(G24:P24)</f>
        <v>40000</v>
      </c>
      <c r="R24" s="106" t="s">
        <v>215</v>
      </c>
    </row>
    <row r="25" spans="1:18" ht="27">
      <c r="A25" s="128" t="s">
        <v>136</v>
      </c>
      <c r="B25" s="22"/>
      <c r="C25" s="3" t="s">
        <v>106</v>
      </c>
      <c r="D25" s="3" t="s">
        <v>106</v>
      </c>
      <c r="E25" s="110" t="s">
        <v>107</v>
      </c>
      <c r="F25" s="81">
        <f>-226176+30106</f>
        <v>-196070</v>
      </c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2">
        <f>+F25+SUM(G25:P25)</f>
        <v>-196070</v>
      </c>
      <c r="R25" s="50" t="s">
        <v>207</v>
      </c>
    </row>
    <row r="26" spans="1:18" ht="16.5" customHeight="1">
      <c r="A26" s="128" t="s">
        <v>136</v>
      </c>
      <c r="B26" s="22"/>
      <c r="C26" s="3" t="s">
        <v>108</v>
      </c>
      <c r="D26" s="3" t="s">
        <v>108</v>
      </c>
      <c r="E26" s="110" t="s">
        <v>109</v>
      </c>
      <c r="F26" s="81">
        <v>-224138</v>
      </c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2">
        <f>+F26+SUM(G26:P26)</f>
        <v>-224138</v>
      </c>
      <c r="R26" s="50" t="s">
        <v>208</v>
      </c>
    </row>
    <row r="27" spans="1:18" ht="13.5">
      <c r="A27" s="128" t="s">
        <v>136</v>
      </c>
      <c r="B27" s="22"/>
      <c r="C27" s="3" t="s">
        <v>110</v>
      </c>
      <c r="D27" s="3" t="s">
        <v>110</v>
      </c>
      <c r="E27" s="110" t="s">
        <v>112</v>
      </c>
      <c r="F27" s="81">
        <v>-190465</v>
      </c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2">
        <f>+F27+SUM(G27:P27)</f>
        <v>-190465</v>
      </c>
      <c r="R27" s="50" t="s">
        <v>166</v>
      </c>
    </row>
    <row r="28" spans="1:18" ht="16.5" customHeight="1">
      <c r="A28" s="128" t="s">
        <v>136</v>
      </c>
      <c r="B28" s="22"/>
      <c r="C28" s="3" t="s">
        <v>111</v>
      </c>
      <c r="D28" s="3" t="s">
        <v>111</v>
      </c>
      <c r="E28" s="110" t="s">
        <v>113</v>
      </c>
      <c r="F28" s="81">
        <v>-33000</v>
      </c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2">
        <f>+F28+SUM(G28:P28)</f>
        <v>-33000</v>
      </c>
      <c r="R28" s="50" t="s">
        <v>167</v>
      </c>
    </row>
    <row r="29" spans="1:18" s="33" customFormat="1" ht="16.5" customHeight="1">
      <c r="A29" s="73"/>
      <c r="B29" s="27"/>
      <c r="C29" s="34"/>
      <c r="D29" s="35" t="s">
        <v>14</v>
      </c>
      <c r="E29" s="36"/>
      <c r="F29" s="32">
        <f aca="true" t="shared" si="3" ref="F29:Q29">SUBTOTAL(9,F23:F28)</f>
        <v>-603673</v>
      </c>
      <c r="G29" s="140">
        <f t="shared" si="3"/>
        <v>0</v>
      </c>
      <c r="H29" s="140">
        <f t="shared" si="3"/>
        <v>0</v>
      </c>
      <c r="I29" s="140">
        <f t="shared" si="3"/>
        <v>0</v>
      </c>
      <c r="J29" s="140">
        <f t="shared" si="3"/>
        <v>0</v>
      </c>
      <c r="K29" s="140">
        <f t="shared" si="3"/>
        <v>0</v>
      </c>
      <c r="L29" s="140">
        <f t="shared" si="3"/>
        <v>0</v>
      </c>
      <c r="M29" s="140">
        <f t="shared" si="3"/>
        <v>0</v>
      </c>
      <c r="N29" s="140">
        <f t="shared" si="3"/>
        <v>0</v>
      </c>
      <c r="O29" s="140">
        <f t="shared" si="3"/>
        <v>0</v>
      </c>
      <c r="P29" s="140">
        <f t="shared" si="3"/>
        <v>0</v>
      </c>
      <c r="Q29" s="60">
        <f t="shared" si="3"/>
        <v>-603673</v>
      </c>
      <c r="R29" s="89"/>
    </row>
    <row r="30" spans="1:18" ht="6.75" customHeight="1">
      <c r="A30" s="70"/>
      <c r="B30" s="22"/>
      <c r="C30" s="3"/>
      <c r="D30" s="16"/>
      <c r="E30" s="1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57"/>
      <c r="R30" s="87"/>
    </row>
    <row r="31" spans="1:18" ht="16.5" customHeight="1">
      <c r="A31" s="70"/>
      <c r="B31" s="22" t="s">
        <v>3</v>
      </c>
      <c r="C31" s="44"/>
      <c r="D31" s="16"/>
      <c r="E31" s="19"/>
      <c r="F31" s="9"/>
      <c r="G31" s="9"/>
      <c r="H31" s="9"/>
      <c r="I31" s="81"/>
      <c r="J31" s="81"/>
      <c r="K31" s="81"/>
      <c r="L31" s="81"/>
      <c r="M31" s="9"/>
      <c r="N31" s="9"/>
      <c r="O31" s="9"/>
      <c r="P31" s="81"/>
      <c r="Q31" s="57"/>
      <c r="R31" s="50"/>
    </row>
    <row r="32" spans="1:18" ht="3" customHeight="1" hidden="1">
      <c r="A32" s="70"/>
      <c r="B32" s="22"/>
      <c r="C32" s="113"/>
      <c r="D32" s="16"/>
      <c r="E32" s="19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2"/>
      <c r="R32" s="50"/>
    </row>
    <row r="33" spans="1:18" ht="151.5">
      <c r="A33" s="70"/>
      <c r="B33" s="22"/>
      <c r="C33" s="3" t="s">
        <v>57</v>
      </c>
      <c r="D33" s="16" t="s">
        <v>134</v>
      </c>
      <c r="E33" s="19" t="s">
        <v>61</v>
      </c>
      <c r="F33" s="81">
        <f>-1652976+200000</f>
        <v>-1452976</v>
      </c>
      <c r="G33" s="81"/>
      <c r="H33" s="81"/>
      <c r="I33" s="81"/>
      <c r="J33" s="81">
        <v>84667</v>
      </c>
      <c r="K33" s="81"/>
      <c r="L33" s="81">
        <v>379596</v>
      </c>
      <c r="M33" s="81"/>
      <c r="N33" s="81"/>
      <c r="O33" s="81"/>
      <c r="P33" s="81">
        <v>402423</v>
      </c>
      <c r="Q33" s="82">
        <f aca="true" t="shared" si="4" ref="Q33:Q73">+F33+SUM(G33:P33)</f>
        <v>-586290</v>
      </c>
      <c r="R33" s="50" t="s">
        <v>244</v>
      </c>
    </row>
    <row r="34" spans="1:18" ht="27">
      <c r="A34" s="128" t="s">
        <v>136</v>
      </c>
      <c r="B34" s="22"/>
      <c r="C34" s="3" t="s">
        <v>57</v>
      </c>
      <c r="D34" s="16" t="s">
        <v>134</v>
      </c>
      <c r="E34" s="19" t="s">
        <v>61</v>
      </c>
      <c r="F34" s="81">
        <v>-200000</v>
      </c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2">
        <f t="shared" si="4"/>
        <v>-200000</v>
      </c>
      <c r="R34" s="50" t="s">
        <v>221</v>
      </c>
    </row>
    <row r="35" spans="1:18" ht="115.5" customHeight="1">
      <c r="A35" s="70"/>
      <c r="B35" s="22"/>
      <c r="C35" s="3" t="s">
        <v>57</v>
      </c>
      <c r="D35" s="16" t="s">
        <v>86</v>
      </c>
      <c r="E35" s="19" t="s">
        <v>62</v>
      </c>
      <c r="F35" s="81">
        <f>-6058304+220000</f>
        <v>-5838304</v>
      </c>
      <c r="G35" s="81"/>
      <c r="H35" s="81"/>
      <c r="I35" s="81">
        <v>1111948</v>
      </c>
      <c r="J35" s="81"/>
      <c r="K35" s="81">
        <v>-4559104</v>
      </c>
      <c r="L35" s="81">
        <v>22601227</v>
      </c>
      <c r="M35" s="81"/>
      <c r="N35" s="81"/>
      <c r="O35" s="81"/>
      <c r="P35" s="81"/>
      <c r="Q35" s="82">
        <f t="shared" si="4"/>
        <v>13315767</v>
      </c>
      <c r="R35" s="50" t="s">
        <v>222</v>
      </c>
    </row>
    <row r="36" spans="1:18" ht="13.5">
      <c r="A36" s="128" t="s">
        <v>136</v>
      </c>
      <c r="B36" s="22"/>
      <c r="C36" s="3" t="s">
        <v>57</v>
      </c>
      <c r="D36" s="16" t="s">
        <v>86</v>
      </c>
      <c r="E36" s="19" t="s">
        <v>62</v>
      </c>
      <c r="F36" s="81">
        <v>-220000</v>
      </c>
      <c r="G36" s="81"/>
      <c r="H36" s="81"/>
      <c r="I36" s="81"/>
      <c r="J36" s="81"/>
      <c r="K36" s="81">
        <v>220000</v>
      </c>
      <c r="L36" s="81"/>
      <c r="M36" s="81"/>
      <c r="N36" s="81"/>
      <c r="O36" s="81"/>
      <c r="P36" s="81"/>
      <c r="Q36" s="82">
        <f t="shared" si="4"/>
        <v>0</v>
      </c>
      <c r="R36" s="50" t="s">
        <v>245</v>
      </c>
    </row>
    <row r="37" spans="1:18" ht="123.75">
      <c r="A37" s="70"/>
      <c r="B37" s="22"/>
      <c r="C37" s="3" t="s">
        <v>58</v>
      </c>
      <c r="D37" s="16" t="s">
        <v>119</v>
      </c>
      <c r="E37" s="19" t="s">
        <v>120</v>
      </c>
      <c r="F37" s="81">
        <v>-735</v>
      </c>
      <c r="G37" s="81"/>
      <c r="H37" s="81"/>
      <c r="I37" s="81">
        <f>-2445629+84714</f>
        <v>-2360915</v>
      </c>
      <c r="J37" s="81">
        <f>9612295+1074333+923117</f>
        <v>11609745</v>
      </c>
      <c r="K37" s="81"/>
      <c r="L37" s="81">
        <v>-29245</v>
      </c>
      <c r="M37" s="81"/>
      <c r="N37" s="81"/>
      <c r="O37" s="81"/>
      <c r="P37" s="81">
        <v>-1434970</v>
      </c>
      <c r="Q37" s="82">
        <f t="shared" si="4"/>
        <v>7783880</v>
      </c>
      <c r="R37" s="50" t="s">
        <v>260</v>
      </c>
    </row>
    <row r="38" spans="1:18" ht="82.5">
      <c r="A38" s="128" t="s">
        <v>136</v>
      </c>
      <c r="B38" s="22"/>
      <c r="C38" s="3" t="s">
        <v>58</v>
      </c>
      <c r="D38" s="16" t="s">
        <v>119</v>
      </c>
      <c r="E38" s="19" t="s">
        <v>120</v>
      </c>
      <c r="F38" s="81">
        <v>-25000</v>
      </c>
      <c r="G38" s="81"/>
      <c r="H38" s="81"/>
      <c r="I38" s="81">
        <v>-84714</v>
      </c>
      <c r="J38" s="81">
        <v>-1074333</v>
      </c>
      <c r="K38" s="81"/>
      <c r="L38" s="81"/>
      <c r="M38" s="81"/>
      <c r="N38" s="81"/>
      <c r="O38" s="81"/>
      <c r="P38" s="81"/>
      <c r="Q38" s="82">
        <f t="shared" si="4"/>
        <v>-1184047</v>
      </c>
      <c r="R38" s="50" t="s">
        <v>223</v>
      </c>
    </row>
    <row r="39" spans="1:18" ht="41.25">
      <c r="A39" s="70"/>
      <c r="B39" s="22"/>
      <c r="C39" s="3" t="s">
        <v>58</v>
      </c>
      <c r="D39" s="16" t="s">
        <v>138</v>
      </c>
      <c r="E39" s="19" t="s">
        <v>63</v>
      </c>
      <c r="F39" s="81"/>
      <c r="G39" s="81"/>
      <c r="H39" s="81"/>
      <c r="I39" s="81"/>
      <c r="J39" s="81">
        <f>12915003+1800000</f>
        <v>14715003</v>
      </c>
      <c r="K39" s="81"/>
      <c r="L39" s="81"/>
      <c r="M39" s="81"/>
      <c r="N39" s="81"/>
      <c r="O39" s="81"/>
      <c r="P39" s="81"/>
      <c r="Q39" s="82">
        <f t="shared" si="4"/>
        <v>14715003</v>
      </c>
      <c r="R39" s="50" t="s">
        <v>224</v>
      </c>
    </row>
    <row r="40" spans="1:18" ht="40.5" customHeight="1">
      <c r="A40" s="128" t="s">
        <v>136</v>
      </c>
      <c r="B40" s="22"/>
      <c r="C40" s="3" t="s">
        <v>58</v>
      </c>
      <c r="D40" s="16" t="s">
        <v>121</v>
      </c>
      <c r="E40" s="19" t="s">
        <v>63</v>
      </c>
      <c r="F40" s="81"/>
      <c r="G40" s="81"/>
      <c r="H40" s="81"/>
      <c r="I40" s="81"/>
      <c r="J40" s="81">
        <v>-1800000</v>
      </c>
      <c r="K40" s="81"/>
      <c r="L40" s="81"/>
      <c r="M40" s="81"/>
      <c r="N40" s="81"/>
      <c r="O40" s="81"/>
      <c r="P40" s="81"/>
      <c r="Q40" s="82">
        <f t="shared" si="4"/>
        <v>-1800000</v>
      </c>
      <c r="R40" s="50" t="s">
        <v>225</v>
      </c>
    </row>
    <row r="41" spans="1:18" ht="54.75">
      <c r="A41" s="70"/>
      <c r="B41" s="22"/>
      <c r="C41" s="3" t="s">
        <v>58</v>
      </c>
      <c r="D41" s="16" t="s">
        <v>139</v>
      </c>
      <c r="E41" s="19" t="s">
        <v>64</v>
      </c>
      <c r="F41" s="81">
        <f>395245+391590</f>
        <v>786835</v>
      </c>
      <c r="G41" s="81"/>
      <c r="H41" s="81"/>
      <c r="I41" s="81"/>
      <c r="J41" s="81"/>
      <c r="K41" s="81"/>
      <c r="L41" s="81">
        <f>4098907+508410</f>
        <v>4607317</v>
      </c>
      <c r="M41" s="81"/>
      <c r="N41" s="81"/>
      <c r="O41" s="81"/>
      <c r="P41" s="81"/>
      <c r="Q41" s="82">
        <f t="shared" si="4"/>
        <v>5394152</v>
      </c>
      <c r="R41" s="50" t="s">
        <v>246</v>
      </c>
    </row>
    <row r="42" spans="1:18" ht="51" customHeight="1">
      <c r="A42" s="128" t="s">
        <v>136</v>
      </c>
      <c r="B42" s="22"/>
      <c r="C42" s="3" t="s">
        <v>58</v>
      </c>
      <c r="D42" s="16" t="s">
        <v>139</v>
      </c>
      <c r="E42" s="19" t="s">
        <v>64</v>
      </c>
      <c r="F42" s="81">
        <v>-391590</v>
      </c>
      <c r="G42" s="81"/>
      <c r="H42" s="81"/>
      <c r="I42" s="81"/>
      <c r="J42" s="81"/>
      <c r="K42" s="81"/>
      <c r="L42" s="81">
        <v>-508410</v>
      </c>
      <c r="M42" s="81"/>
      <c r="N42" s="81"/>
      <c r="O42" s="81"/>
      <c r="P42" s="81"/>
      <c r="Q42" s="82">
        <f t="shared" si="4"/>
        <v>-900000</v>
      </c>
      <c r="R42" s="50" t="s">
        <v>226</v>
      </c>
    </row>
    <row r="43" spans="1:18" ht="27">
      <c r="A43" s="70"/>
      <c r="B43" s="22"/>
      <c r="C43" s="3" t="s">
        <v>58</v>
      </c>
      <c r="D43" s="16" t="s">
        <v>122</v>
      </c>
      <c r="E43" s="19" t="s">
        <v>65</v>
      </c>
      <c r="F43" s="81">
        <f>-2787310+1602619</f>
        <v>-1184691</v>
      </c>
      <c r="G43" s="81"/>
      <c r="H43" s="81"/>
      <c r="I43" s="81"/>
      <c r="J43" s="81">
        <v>-4150996</v>
      </c>
      <c r="K43" s="81"/>
      <c r="L43" s="81"/>
      <c r="M43" s="81"/>
      <c r="N43" s="81"/>
      <c r="O43" s="81"/>
      <c r="P43" s="81"/>
      <c r="Q43" s="82">
        <f t="shared" si="4"/>
        <v>-5335687</v>
      </c>
      <c r="R43" s="50" t="s">
        <v>247</v>
      </c>
    </row>
    <row r="44" spans="1:18" ht="27">
      <c r="A44" s="128" t="s">
        <v>136</v>
      </c>
      <c r="B44" s="22"/>
      <c r="C44" s="3" t="s">
        <v>58</v>
      </c>
      <c r="D44" s="16" t="s">
        <v>122</v>
      </c>
      <c r="E44" s="19" t="s">
        <v>65</v>
      </c>
      <c r="F44" s="81">
        <f>-500000-1102619</f>
        <v>-1602619</v>
      </c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2">
        <f t="shared" si="4"/>
        <v>-1602619</v>
      </c>
      <c r="R44" s="50" t="s">
        <v>248</v>
      </c>
    </row>
    <row r="45" spans="1:18" ht="39" customHeight="1">
      <c r="A45" s="70"/>
      <c r="B45" s="22"/>
      <c r="C45" s="3" t="s">
        <v>58</v>
      </c>
      <c r="D45" s="16" t="s">
        <v>141</v>
      </c>
      <c r="E45" s="19" t="s">
        <v>66</v>
      </c>
      <c r="F45" s="81">
        <v>-282509</v>
      </c>
      <c r="G45" s="81"/>
      <c r="H45" s="81"/>
      <c r="I45" s="81"/>
      <c r="J45" s="1"/>
      <c r="K45" s="81"/>
      <c r="L45" s="81">
        <v>-775475</v>
      </c>
      <c r="M45" s="81"/>
      <c r="N45" s="81"/>
      <c r="O45" s="81"/>
      <c r="P45" s="81"/>
      <c r="Q45" s="82">
        <f t="shared" si="4"/>
        <v>-1057984</v>
      </c>
      <c r="R45" s="50" t="s">
        <v>227</v>
      </c>
    </row>
    <row r="46" spans="1:18" ht="46.5" customHeight="1">
      <c r="A46" s="70"/>
      <c r="B46" s="22"/>
      <c r="C46" s="106" t="s">
        <v>59</v>
      </c>
      <c r="D46" s="16" t="s">
        <v>56</v>
      </c>
      <c r="E46" s="19" t="s">
        <v>67</v>
      </c>
      <c r="F46" s="81">
        <f>176033-250000</f>
        <v>-73967</v>
      </c>
      <c r="G46" s="81"/>
      <c r="H46" s="81"/>
      <c r="I46" s="81"/>
      <c r="J46" s="81">
        <v>170000</v>
      </c>
      <c r="K46" s="81"/>
      <c r="L46" s="81"/>
      <c r="M46" s="81"/>
      <c r="N46" s="81"/>
      <c r="O46" s="81"/>
      <c r="P46" s="81"/>
      <c r="Q46" s="82">
        <f t="shared" si="4"/>
        <v>96033</v>
      </c>
      <c r="R46" s="50" t="s">
        <v>239</v>
      </c>
    </row>
    <row r="47" spans="1:18" ht="46.5" customHeight="1">
      <c r="A47" s="70"/>
      <c r="B47" s="22"/>
      <c r="C47" s="106" t="s">
        <v>59</v>
      </c>
      <c r="D47" s="16" t="s">
        <v>123</v>
      </c>
      <c r="E47" s="19" t="s">
        <v>68</v>
      </c>
      <c r="F47" s="81">
        <v>43353</v>
      </c>
      <c r="G47" s="81"/>
      <c r="H47" s="81"/>
      <c r="I47" s="81"/>
      <c r="J47" s="81">
        <f>853268+3970</f>
        <v>857238</v>
      </c>
      <c r="K47" s="81"/>
      <c r="L47" s="81">
        <v>49791</v>
      </c>
      <c r="M47" s="81"/>
      <c r="N47" s="81"/>
      <c r="O47" s="81"/>
      <c r="P47" s="81"/>
      <c r="Q47" s="82">
        <f t="shared" si="4"/>
        <v>950382</v>
      </c>
      <c r="R47" s="50" t="s">
        <v>228</v>
      </c>
    </row>
    <row r="48" spans="1:18" ht="75" customHeight="1">
      <c r="A48" s="128" t="s">
        <v>136</v>
      </c>
      <c r="B48" s="22"/>
      <c r="C48" s="106" t="s">
        <v>59</v>
      </c>
      <c r="D48" s="16" t="s">
        <v>123</v>
      </c>
      <c r="E48" s="19" t="s">
        <v>68</v>
      </c>
      <c r="F48" s="81"/>
      <c r="G48" s="81"/>
      <c r="H48" s="81"/>
      <c r="I48" s="81"/>
      <c r="J48" s="81">
        <v>-225000</v>
      </c>
      <c r="K48" s="81"/>
      <c r="L48" s="81"/>
      <c r="M48" s="81"/>
      <c r="N48" s="81"/>
      <c r="O48" s="81"/>
      <c r="P48" s="81"/>
      <c r="Q48" s="82">
        <f t="shared" si="4"/>
        <v>-225000</v>
      </c>
      <c r="R48" s="50" t="s">
        <v>175</v>
      </c>
    </row>
    <row r="49" spans="1:18" ht="75" customHeight="1">
      <c r="A49" s="70"/>
      <c r="B49" s="22"/>
      <c r="C49" s="106" t="s">
        <v>59</v>
      </c>
      <c r="D49" s="16" t="s">
        <v>124</v>
      </c>
      <c r="E49" s="19" t="s">
        <v>69</v>
      </c>
      <c r="F49" s="81">
        <v>26013</v>
      </c>
      <c r="G49" s="81"/>
      <c r="H49" s="81"/>
      <c r="I49" s="81"/>
      <c r="J49" s="81">
        <f>61819+30000+150000</f>
        <v>241819</v>
      </c>
      <c r="K49" s="81"/>
      <c r="L49" s="81"/>
      <c r="M49" s="81"/>
      <c r="N49" s="81"/>
      <c r="O49" s="81"/>
      <c r="P49" s="81"/>
      <c r="Q49" s="82">
        <f t="shared" si="4"/>
        <v>267832</v>
      </c>
      <c r="R49" s="50" t="s">
        <v>259</v>
      </c>
    </row>
    <row r="50" spans="1:18" ht="35.25" customHeight="1">
      <c r="A50" s="128" t="s">
        <v>136</v>
      </c>
      <c r="B50" s="22"/>
      <c r="C50" s="106" t="s">
        <v>59</v>
      </c>
      <c r="D50" s="16" t="s">
        <v>124</v>
      </c>
      <c r="E50" s="19" t="s">
        <v>69</v>
      </c>
      <c r="F50" s="81"/>
      <c r="G50" s="81"/>
      <c r="H50" s="81"/>
      <c r="I50" s="81"/>
      <c r="J50" s="81">
        <v>-77000</v>
      </c>
      <c r="K50" s="81"/>
      <c r="L50" s="81"/>
      <c r="M50" s="81"/>
      <c r="N50" s="81"/>
      <c r="O50" s="81"/>
      <c r="P50" s="81"/>
      <c r="Q50" s="82">
        <f t="shared" si="4"/>
        <v>-77000</v>
      </c>
      <c r="R50" s="50" t="s">
        <v>242</v>
      </c>
    </row>
    <row r="51" spans="1:18" ht="85.5" customHeight="1">
      <c r="A51" s="70"/>
      <c r="B51" s="22"/>
      <c r="C51" s="106" t="s">
        <v>60</v>
      </c>
      <c r="D51" s="16" t="s">
        <v>125</v>
      </c>
      <c r="E51" s="19" t="s">
        <v>70</v>
      </c>
      <c r="F51" s="81">
        <f>452-26013</f>
        <v>-25561</v>
      </c>
      <c r="G51" s="81"/>
      <c r="H51" s="81"/>
      <c r="I51" s="81">
        <v>5000</v>
      </c>
      <c r="J51" s="81">
        <f>34844+7401+611920-2500-2500-61819+267821+1233233+3059603+100000</f>
        <v>5248003</v>
      </c>
      <c r="K51" s="81"/>
      <c r="L51" s="81">
        <v>814</v>
      </c>
      <c r="M51" s="81"/>
      <c r="N51" s="81"/>
      <c r="O51" s="81"/>
      <c r="P51" s="81"/>
      <c r="Q51" s="82">
        <f t="shared" si="4"/>
        <v>5228256</v>
      </c>
      <c r="R51" s="50" t="s">
        <v>258</v>
      </c>
    </row>
    <row r="52" spans="1:18" ht="54.75">
      <c r="A52" s="128" t="s">
        <v>136</v>
      </c>
      <c r="B52" s="22"/>
      <c r="C52" s="106" t="s">
        <v>60</v>
      </c>
      <c r="D52" s="16" t="s">
        <v>125</v>
      </c>
      <c r="E52" s="19" t="s">
        <v>70</v>
      </c>
      <c r="F52" s="81">
        <v>-6448</v>
      </c>
      <c r="G52" s="81"/>
      <c r="H52" s="81"/>
      <c r="I52" s="81"/>
      <c r="J52" s="81">
        <v>-2262541</v>
      </c>
      <c r="K52" s="81"/>
      <c r="L52" s="81"/>
      <c r="M52" s="81"/>
      <c r="N52" s="81"/>
      <c r="O52" s="81"/>
      <c r="P52" s="81"/>
      <c r="Q52" s="82">
        <f t="shared" si="4"/>
        <v>-2268989</v>
      </c>
      <c r="R52" s="139" t="s">
        <v>257</v>
      </c>
    </row>
    <row r="53" spans="1:18" ht="117" customHeight="1">
      <c r="A53" s="70"/>
      <c r="B53" s="22"/>
      <c r="C53" s="106" t="s">
        <v>88</v>
      </c>
      <c r="D53" s="16" t="s">
        <v>151</v>
      </c>
      <c r="E53" s="19" t="s">
        <v>43</v>
      </c>
      <c r="F53" s="115">
        <v>1012462</v>
      </c>
      <c r="G53" s="116"/>
      <c r="H53" s="116"/>
      <c r="I53" s="116"/>
      <c r="J53" s="116">
        <v>-1065248</v>
      </c>
      <c r="K53" s="116"/>
      <c r="L53" s="116">
        <v>2080571</v>
      </c>
      <c r="M53" s="116"/>
      <c r="N53" s="116"/>
      <c r="O53" s="116"/>
      <c r="P53" s="116">
        <v>276705</v>
      </c>
      <c r="Q53" s="82">
        <f t="shared" si="4"/>
        <v>2304490</v>
      </c>
      <c r="R53" s="117" t="s">
        <v>241</v>
      </c>
    </row>
    <row r="54" spans="1:18" ht="123.75">
      <c r="A54" s="70"/>
      <c r="B54" s="22"/>
      <c r="C54" s="106" t="s">
        <v>88</v>
      </c>
      <c r="D54" s="16" t="s">
        <v>142</v>
      </c>
      <c r="E54" s="19" t="s">
        <v>44</v>
      </c>
      <c r="F54" s="118">
        <v>4996450</v>
      </c>
      <c r="G54" s="118"/>
      <c r="H54" s="118"/>
      <c r="I54" s="118"/>
      <c r="J54" s="119">
        <f>2224091+842821</f>
        <v>3066912</v>
      </c>
      <c r="K54" s="118"/>
      <c r="L54" s="118">
        <v>-3000644</v>
      </c>
      <c r="M54" s="118"/>
      <c r="N54" s="118"/>
      <c r="O54" s="118"/>
      <c r="P54" s="118"/>
      <c r="Q54" s="82">
        <f t="shared" si="4"/>
        <v>5062718</v>
      </c>
      <c r="R54" s="120" t="s">
        <v>243</v>
      </c>
    </row>
    <row r="55" spans="1:18" ht="41.25">
      <c r="A55" s="70"/>
      <c r="B55" s="22"/>
      <c r="C55" s="106" t="s">
        <v>88</v>
      </c>
      <c r="D55" s="16" t="s">
        <v>143</v>
      </c>
      <c r="E55" s="19" t="s">
        <v>45</v>
      </c>
      <c r="F55" s="121">
        <v>-3450000</v>
      </c>
      <c r="G55" s="122"/>
      <c r="H55" s="122"/>
      <c r="I55" s="122"/>
      <c r="J55" s="122">
        <v>-217062</v>
      </c>
      <c r="K55" s="122"/>
      <c r="L55" s="122">
        <v>3600000</v>
      </c>
      <c r="M55" s="122"/>
      <c r="N55" s="122"/>
      <c r="O55" s="122"/>
      <c r="P55" s="122"/>
      <c r="Q55" s="82">
        <f t="shared" si="4"/>
        <v>-67062</v>
      </c>
      <c r="R55" s="123" t="s">
        <v>240</v>
      </c>
    </row>
    <row r="56" spans="1:18" ht="36" customHeight="1">
      <c r="A56" s="70"/>
      <c r="B56" s="22"/>
      <c r="C56" s="106" t="s">
        <v>88</v>
      </c>
      <c r="D56" s="16" t="s">
        <v>144</v>
      </c>
      <c r="E56" s="19" t="s">
        <v>46</v>
      </c>
      <c r="F56" s="81">
        <v>35043</v>
      </c>
      <c r="G56" s="81"/>
      <c r="H56" s="81"/>
      <c r="I56" s="81"/>
      <c r="J56" s="81"/>
      <c r="K56" s="81"/>
      <c r="L56" s="81">
        <v>68024</v>
      </c>
      <c r="M56" s="81"/>
      <c r="N56" s="81"/>
      <c r="O56" s="81"/>
      <c r="P56" s="81"/>
      <c r="Q56" s="82">
        <f t="shared" si="4"/>
        <v>103067</v>
      </c>
      <c r="R56" s="135" t="s">
        <v>171</v>
      </c>
    </row>
    <row r="57" spans="1:18" ht="34.5" customHeight="1">
      <c r="A57" s="70"/>
      <c r="B57" s="22"/>
      <c r="C57" s="106" t="s">
        <v>88</v>
      </c>
      <c r="D57" s="16" t="s">
        <v>145</v>
      </c>
      <c r="E57" s="19" t="s">
        <v>47</v>
      </c>
      <c r="F57" s="1">
        <v>600000</v>
      </c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2">
        <f t="shared" si="4"/>
        <v>600000</v>
      </c>
      <c r="R57" s="93" t="s">
        <v>176</v>
      </c>
    </row>
    <row r="58" spans="1:18" ht="41.25">
      <c r="A58" s="70"/>
      <c r="B58" s="22"/>
      <c r="C58" s="106" t="s">
        <v>88</v>
      </c>
      <c r="D58" s="16" t="s">
        <v>126</v>
      </c>
      <c r="E58" s="19" t="s">
        <v>48</v>
      </c>
      <c r="F58" s="1">
        <f>-3222843+2193973</f>
        <v>-1028870</v>
      </c>
      <c r="G58" s="81"/>
      <c r="H58" s="81"/>
      <c r="I58" s="81"/>
      <c r="J58" s="81">
        <v>384000</v>
      </c>
      <c r="K58" s="81"/>
      <c r="L58" s="81">
        <v>-245765</v>
      </c>
      <c r="M58" s="81"/>
      <c r="N58" s="81"/>
      <c r="O58" s="81"/>
      <c r="P58" s="81"/>
      <c r="Q58" s="82">
        <f t="shared" si="4"/>
        <v>-890635</v>
      </c>
      <c r="R58" s="93" t="s">
        <v>177</v>
      </c>
    </row>
    <row r="59" spans="1:18" ht="50.25" customHeight="1">
      <c r="A59" s="128" t="s">
        <v>136</v>
      </c>
      <c r="B59" s="22"/>
      <c r="C59" s="106" t="s">
        <v>88</v>
      </c>
      <c r="D59" s="16" t="s">
        <v>126</v>
      </c>
      <c r="E59" s="19" t="s">
        <v>48</v>
      </c>
      <c r="F59" s="81">
        <v>-2193973</v>
      </c>
      <c r="G59" s="81"/>
      <c r="H59" s="81"/>
      <c r="I59" s="81"/>
      <c r="J59" s="81"/>
      <c r="K59" s="81"/>
      <c r="L59" s="81"/>
      <c r="M59" s="81">
        <v>1636422</v>
      </c>
      <c r="N59" s="81"/>
      <c r="O59" s="81"/>
      <c r="P59" s="81"/>
      <c r="Q59" s="82">
        <f t="shared" si="4"/>
        <v>-557551</v>
      </c>
      <c r="R59" s="135" t="s">
        <v>230</v>
      </c>
    </row>
    <row r="60" spans="1:18" ht="50.25" customHeight="1">
      <c r="A60" s="70"/>
      <c r="B60" s="22"/>
      <c r="C60" s="106" t="s">
        <v>88</v>
      </c>
      <c r="D60" s="16" t="s">
        <v>127</v>
      </c>
      <c r="E60" s="19" t="s">
        <v>216</v>
      </c>
      <c r="F60" s="81">
        <v>-615658</v>
      </c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2">
        <f t="shared" si="4"/>
        <v>-615658</v>
      </c>
      <c r="R60" s="135" t="s">
        <v>178</v>
      </c>
    </row>
    <row r="61" spans="1:18" ht="50.25" customHeight="1">
      <c r="A61" s="128" t="s">
        <v>136</v>
      </c>
      <c r="B61" s="22"/>
      <c r="C61" s="106" t="s">
        <v>88</v>
      </c>
      <c r="D61" s="16" t="s">
        <v>127</v>
      </c>
      <c r="E61" s="19" t="s">
        <v>216</v>
      </c>
      <c r="F61" s="81">
        <v>-1000000</v>
      </c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2">
        <f t="shared" si="4"/>
        <v>-1000000</v>
      </c>
      <c r="R61" s="135" t="s">
        <v>229</v>
      </c>
    </row>
    <row r="62" spans="1:18" ht="50.25" customHeight="1">
      <c r="A62" s="70"/>
      <c r="B62" s="22"/>
      <c r="C62" s="106" t="s">
        <v>88</v>
      </c>
      <c r="D62" s="16" t="s">
        <v>146</v>
      </c>
      <c r="E62" s="19" t="s">
        <v>217</v>
      </c>
      <c r="F62" s="81">
        <v>24000</v>
      </c>
      <c r="G62" s="81"/>
      <c r="H62" s="81"/>
      <c r="I62" s="81"/>
      <c r="J62" s="81"/>
      <c r="K62" s="81"/>
      <c r="L62" s="81"/>
      <c r="M62" s="81"/>
      <c r="N62" s="81"/>
      <c r="O62" s="81"/>
      <c r="P62" s="81">
        <v>42108</v>
      </c>
      <c r="Q62" s="82">
        <f t="shared" si="4"/>
        <v>66108</v>
      </c>
      <c r="R62" s="135" t="s">
        <v>172</v>
      </c>
    </row>
    <row r="63" spans="1:18" ht="50.25" customHeight="1">
      <c r="A63" s="70"/>
      <c r="B63" s="22"/>
      <c r="C63" s="106" t="s">
        <v>88</v>
      </c>
      <c r="D63" s="16" t="s">
        <v>147</v>
      </c>
      <c r="E63" s="19" t="s">
        <v>218</v>
      </c>
      <c r="F63" s="81"/>
      <c r="G63" s="81"/>
      <c r="H63" s="81"/>
      <c r="I63" s="81"/>
      <c r="J63" s="81"/>
      <c r="K63" s="81"/>
      <c r="L63" s="81">
        <v>321000</v>
      </c>
      <c r="M63" s="81"/>
      <c r="N63" s="81"/>
      <c r="O63" s="81"/>
      <c r="P63" s="81"/>
      <c r="Q63" s="82">
        <f t="shared" si="4"/>
        <v>321000</v>
      </c>
      <c r="R63" s="135" t="s">
        <v>173</v>
      </c>
    </row>
    <row r="64" spans="1:18" ht="50.25" customHeight="1">
      <c r="A64" s="70"/>
      <c r="B64" s="22"/>
      <c r="C64" s="106" t="s">
        <v>71</v>
      </c>
      <c r="D64" s="16" t="s">
        <v>128</v>
      </c>
      <c r="E64" s="19" t="s">
        <v>72</v>
      </c>
      <c r="F64" s="81">
        <v>141908</v>
      </c>
      <c r="G64" s="81"/>
      <c r="H64" s="81"/>
      <c r="I64" s="81"/>
      <c r="J64" s="81">
        <v>39493</v>
      </c>
      <c r="K64" s="81"/>
      <c r="L64" s="81">
        <v>58579</v>
      </c>
      <c r="N64" s="81"/>
      <c r="O64" s="81"/>
      <c r="P64" s="81">
        <v>14911</v>
      </c>
      <c r="Q64" s="82">
        <f t="shared" si="4"/>
        <v>254891</v>
      </c>
      <c r="R64" s="135" t="s">
        <v>174</v>
      </c>
    </row>
    <row r="65" spans="1:18" ht="41.25">
      <c r="A65" s="128" t="s">
        <v>136</v>
      </c>
      <c r="B65" s="22"/>
      <c r="C65" s="106" t="s">
        <v>71</v>
      </c>
      <c r="D65" s="16" t="s">
        <v>128</v>
      </c>
      <c r="E65" s="19" t="s">
        <v>72</v>
      </c>
      <c r="F65" s="81">
        <f>-1000-5000-92679-4000-5000-3700-1500-12000</f>
        <v>-124879</v>
      </c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2">
        <f t="shared" si="4"/>
        <v>-124879</v>
      </c>
      <c r="R65" s="135" t="s">
        <v>256</v>
      </c>
    </row>
    <row r="66" spans="1:18" ht="54.75">
      <c r="A66" s="70"/>
      <c r="B66" s="22"/>
      <c r="C66" s="106" t="s">
        <v>71</v>
      </c>
      <c r="D66" s="16" t="s">
        <v>148</v>
      </c>
      <c r="E66" s="19" t="s">
        <v>149</v>
      </c>
      <c r="F66" s="81">
        <v>364480</v>
      </c>
      <c r="G66" s="81"/>
      <c r="H66" s="81"/>
      <c r="I66" s="81"/>
      <c r="J66" s="81">
        <v>158677</v>
      </c>
      <c r="K66" s="81"/>
      <c r="L66" s="81"/>
      <c r="M66" s="81"/>
      <c r="N66" s="81"/>
      <c r="O66" s="81"/>
      <c r="P66" s="81">
        <v>-43093</v>
      </c>
      <c r="Q66" s="82">
        <f t="shared" si="4"/>
        <v>480064</v>
      </c>
      <c r="R66" s="135" t="s">
        <v>255</v>
      </c>
    </row>
    <row r="67" spans="1:18" ht="39" customHeight="1">
      <c r="A67" s="128" t="s">
        <v>136</v>
      </c>
      <c r="B67" s="22"/>
      <c r="C67" s="106" t="s">
        <v>71</v>
      </c>
      <c r="D67" s="16" t="s">
        <v>130</v>
      </c>
      <c r="E67" s="19" t="s">
        <v>129</v>
      </c>
      <c r="F67" s="81">
        <v>-5000</v>
      </c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2">
        <f t="shared" si="4"/>
        <v>-5000</v>
      </c>
      <c r="R67" s="135" t="s">
        <v>219</v>
      </c>
    </row>
    <row r="68" spans="1:18" ht="39" customHeight="1">
      <c r="A68" s="128" t="s">
        <v>136</v>
      </c>
      <c r="B68" s="22"/>
      <c r="C68" s="106" t="s">
        <v>71</v>
      </c>
      <c r="D68" s="16" t="s">
        <v>133</v>
      </c>
      <c r="E68" s="19" t="s">
        <v>132</v>
      </c>
      <c r="F68" s="81">
        <v>-10000</v>
      </c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2">
        <f t="shared" si="4"/>
        <v>-10000</v>
      </c>
      <c r="R68" s="135" t="s">
        <v>220</v>
      </c>
    </row>
    <row r="69" spans="1:18" ht="39" customHeight="1">
      <c r="A69" s="70"/>
      <c r="B69" s="22"/>
      <c r="C69" s="106" t="s">
        <v>71</v>
      </c>
      <c r="D69" s="16" t="s">
        <v>131</v>
      </c>
      <c r="E69" s="19" t="s">
        <v>73</v>
      </c>
      <c r="F69" s="81"/>
      <c r="G69" s="81"/>
      <c r="H69" s="81"/>
      <c r="I69" s="81"/>
      <c r="J69" s="81">
        <f>1289974-100000</f>
        <v>1189974</v>
      </c>
      <c r="K69" s="81"/>
      <c r="L69" s="81"/>
      <c r="M69" s="81"/>
      <c r="N69" s="81"/>
      <c r="O69" s="81"/>
      <c r="P69" s="81"/>
      <c r="Q69" s="82">
        <f t="shared" si="4"/>
        <v>1189974</v>
      </c>
      <c r="R69" s="135" t="s">
        <v>231</v>
      </c>
    </row>
    <row r="70" spans="1:18" ht="27">
      <c r="A70" s="128" t="s">
        <v>136</v>
      </c>
      <c r="B70" s="22"/>
      <c r="C70" s="106" t="s">
        <v>71</v>
      </c>
      <c r="D70" s="16" t="s">
        <v>131</v>
      </c>
      <c r="E70" s="19" t="s">
        <v>73</v>
      </c>
      <c r="F70" s="81"/>
      <c r="G70" s="81"/>
      <c r="H70" s="81"/>
      <c r="I70" s="81"/>
      <c r="J70" s="81">
        <v>-2046497</v>
      </c>
      <c r="K70" s="81"/>
      <c r="L70" s="81"/>
      <c r="M70" s="81"/>
      <c r="N70" s="81"/>
      <c r="O70" s="81"/>
      <c r="P70" s="81"/>
      <c r="Q70" s="82">
        <f t="shared" si="4"/>
        <v>-2046497</v>
      </c>
      <c r="R70" s="135" t="s">
        <v>254</v>
      </c>
    </row>
    <row r="71" spans="1:18" ht="49.5" customHeight="1">
      <c r="A71" s="70"/>
      <c r="B71" s="22"/>
      <c r="C71" s="106" t="s">
        <v>74</v>
      </c>
      <c r="D71" s="16" t="s">
        <v>150</v>
      </c>
      <c r="E71" s="19" t="s">
        <v>49</v>
      </c>
      <c r="F71" s="1">
        <v>87453</v>
      </c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2">
        <f t="shared" si="4"/>
        <v>87453</v>
      </c>
      <c r="R71" s="93" t="s">
        <v>174</v>
      </c>
    </row>
    <row r="72" spans="1:18" ht="27">
      <c r="A72" s="70"/>
      <c r="B72" s="22"/>
      <c r="C72" s="106" t="s">
        <v>75</v>
      </c>
      <c r="D72" s="16" t="s">
        <v>87</v>
      </c>
      <c r="E72" s="19" t="s">
        <v>42</v>
      </c>
      <c r="F72" s="9">
        <v>2150367</v>
      </c>
      <c r="G72" s="9"/>
      <c r="H72" s="9"/>
      <c r="I72" s="9">
        <v>-2424031</v>
      </c>
      <c r="K72" s="9"/>
      <c r="L72" s="9">
        <v>-690500</v>
      </c>
      <c r="M72" s="9"/>
      <c r="N72" s="9"/>
      <c r="O72" s="9"/>
      <c r="P72" s="9"/>
      <c r="Q72" s="82">
        <f t="shared" si="4"/>
        <v>-964164</v>
      </c>
      <c r="R72" s="93" t="s">
        <v>213</v>
      </c>
    </row>
    <row r="73" spans="1:18" ht="16.5" customHeight="1">
      <c r="A73" s="70"/>
      <c r="B73" s="22"/>
      <c r="C73" s="106"/>
      <c r="D73" s="16"/>
      <c r="E73" s="19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2">
        <f t="shared" si="4"/>
        <v>0</v>
      </c>
      <c r="R73" s="88"/>
    </row>
    <row r="74" spans="1:18" s="33" customFormat="1" ht="21.75" customHeight="1">
      <c r="A74" s="73"/>
      <c r="B74" s="27"/>
      <c r="C74" s="34"/>
      <c r="D74" s="35" t="s">
        <v>15</v>
      </c>
      <c r="E74" s="36"/>
      <c r="F74" s="32">
        <f aca="true" t="shared" si="5" ref="F74:Q74">SUBTOTAL(9,F31:F73)</f>
        <v>-9464416</v>
      </c>
      <c r="G74" s="140">
        <f t="shared" si="5"/>
        <v>0</v>
      </c>
      <c r="H74" s="140">
        <f t="shared" si="5"/>
        <v>0</v>
      </c>
      <c r="I74" s="32">
        <f t="shared" si="5"/>
        <v>-3752712</v>
      </c>
      <c r="J74" s="32">
        <f t="shared" si="5"/>
        <v>24846854</v>
      </c>
      <c r="K74" s="32">
        <f t="shared" si="5"/>
        <v>-4339104</v>
      </c>
      <c r="L74" s="32">
        <f t="shared" si="5"/>
        <v>28516880</v>
      </c>
      <c r="M74" s="32">
        <f t="shared" si="5"/>
        <v>1636422</v>
      </c>
      <c r="N74" s="140">
        <f t="shared" si="5"/>
        <v>0</v>
      </c>
      <c r="O74" s="140">
        <f t="shared" si="5"/>
        <v>0</v>
      </c>
      <c r="P74" s="32">
        <f t="shared" si="5"/>
        <v>-741916</v>
      </c>
      <c r="Q74" s="60">
        <f t="shared" si="5"/>
        <v>36702008</v>
      </c>
      <c r="R74" s="89"/>
    </row>
    <row r="75" spans="1:18" ht="21" customHeight="1">
      <c r="A75" s="70"/>
      <c r="B75" s="22"/>
      <c r="C75" s="3"/>
      <c r="D75" s="16"/>
      <c r="E75" s="20"/>
      <c r="F75" s="9"/>
      <c r="G75" s="9"/>
      <c r="H75" s="9"/>
      <c r="I75" s="81"/>
      <c r="J75" s="81"/>
      <c r="K75" s="9"/>
      <c r="L75" s="9"/>
      <c r="M75" s="9"/>
      <c r="N75" s="9"/>
      <c r="O75" s="9"/>
      <c r="P75" s="9"/>
      <c r="Q75" s="57"/>
      <c r="R75" s="88"/>
    </row>
    <row r="76" spans="1:18" ht="16.5" customHeight="1" hidden="1">
      <c r="A76" s="70"/>
      <c r="B76" s="22" t="s">
        <v>22</v>
      </c>
      <c r="C76" s="3"/>
      <c r="D76" s="16"/>
      <c r="E76" s="1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57"/>
      <c r="R76" s="50"/>
    </row>
    <row r="77" spans="1:18" s="33" customFormat="1" ht="20.25" customHeight="1" hidden="1">
      <c r="A77" s="73"/>
      <c r="B77" s="27"/>
      <c r="C77" s="34"/>
      <c r="D77" s="35" t="s">
        <v>23</v>
      </c>
      <c r="E77" s="36"/>
      <c r="F77" s="32">
        <f aca="true" t="shared" si="6" ref="F77:Q77">SUBTOTAL(9,F76:F76)</f>
        <v>0</v>
      </c>
      <c r="G77" s="32">
        <f t="shared" si="6"/>
        <v>0</v>
      </c>
      <c r="H77" s="32">
        <f t="shared" si="6"/>
        <v>0</v>
      </c>
      <c r="I77" s="32">
        <f t="shared" si="6"/>
        <v>0</v>
      </c>
      <c r="J77" s="32">
        <f t="shared" si="6"/>
        <v>0</v>
      </c>
      <c r="K77" s="32">
        <f t="shared" si="6"/>
        <v>0</v>
      </c>
      <c r="L77" s="32">
        <f t="shared" si="6"/>
        <v>0</v>
      </c>
      <c r="M77" s="32">
        <f t="shared" si="6"/>
        <v>0</v>
      </c>
      <c r="N77" s="32">
        <f t="shared" si="6"/>
        <v>0</v>
      </c>
      <c r="O77" s="32">
        <f t="shared" si="6"/>
        <v>0</v>
      </c>
      <c r="P77" s="32">
        <f t="shared" si="6"/>
        <v>0</v>
      </c>
      <c r="Q77" s="60">
        <f t="shared" si="6"/>
        <v>0</v>
      </c>
      <c r="R77" s="89"/>
    </row>
    <row r="78" spans="1:18" ht="7.5" customHeight="1" hidden="1">
      <c r="A78" s="70"/>
      <c r="B78" s="22"/>
      <c r="C78" s="45"/>
      <c r="D78" s="16"/>
      <c r="E78" s="19"/>
      <c r="F78" s="9"/>
      <c r="G78" s="9"/>
      <c r="H78" s="9"/>
      <c r="I78" s="9"/>
      <c r="J78" s="9"/>
      <c r="K78" s="9"/>
      <c r="L78" s="9"/>
      <c r="M78" s="9"/>
      <c r="N78" s="9"/>
      <c r="O78" s="81"/>
      <c r="P78" s="9"/>
      <c r="Q78" s="57"/>
      <c r="R78" s="91"/>
    </row>
    <row r="79" spans="1:18" ht="16.5" customHeight="1" hidden="1">
      <c r="A79" s="70"/>
      <c r="B79" s="22" t="s">
        <v>4</v>
      </c>
      <c r="C79" s="3"/>
      <c r="D79" s="16"/>
      <c r="E79" s="19"/>
      <c r="F79" s="9"/>
      <c r="G79" s="9"/>
      <c r="H79" s="9"/>
      <c r="I79" s="9"/>
      <c r="J79" s="9"/>
      <c r="K79" s="9"/>
      <c r="L79" s="9"/>
      <c r="M79" s="9"/>
      <c r="N79" s="9"/>
      <c r="O79" s="81"/>
      <c r="P79" s="9"/>
      <c r="Q79" s="57"/>
      <c r="R79" s="50"/>
    </row>
    <row r="80" spans="1:18" ht="36.75" customHeight="1" hidden="1">
      <c r="A80" s="70"/>
      <c r="B80" s="22"/>
      <c r="C80" s="3" t="s">
        <v>55</v>
      </c>
      <c r="D80" s="16" t="s">
        <v>80</v>
      </c>
      <c r="E80" s="19" t="s">
        <v>79</v>
      </c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2">
        <f>+F80+SUM(G80:P80)</f>
        <v>0</v>
      </c>
      <c r="R80" s="50"/>
    </row>
    <row r="81" spans="1:18" ht="42.75" customHeight="1" hidden="1">
      <c r="A81" s="70"/>
      <c r="B81" s="22"/>
      <c r="C81" s="3" t="s">
        <v>55</v>
      </c>
      <c r="D81" s="16" t="s">
        <v>54</v>
      </c>
      <c r="E81" s="19" t="s">
        <v>76</v>
      </c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2">
        <f>+F81+SUM(G81:P81)</f>
        <v>0</v>
      </c>
      <c r="R81" s="50"/>
    </row>
    <row r="82" spans="1:18" ht="13.5" hidden="1">
      <c r="A82" s="70"/>
      <c r="B82" s="22"/>
      <c r="C82" s="3"/>
      <c r="D82" s="16"/>
      <c r="E82" s="20"/>
      <c r="F82" s="9"/>
      <c r="G82" s="9"/>
      <c r="H82" s="9"/>
      <c r="I82" s="9"/>
      <c r="J82" s="9"/>
      <c r="K82" s="9"/>
      <c r="L82" s="9"/>
      <c r="M82" s="9"/>
      <c r="N82" s="9"/>
      <c r="O82" s="81"/>
      <c r="P82" s="9"/>
      <c r="Q82" s="82">
        <f>+F82+SUM(G82:P82)</f>
        <v>0</v>
      </c>
      <c r="R82" s="84"/>
    </row>
    <row r="83" spans="1:18" s="33" customFormat="1" ht="20.25" customHeight="1" hidden="1">
      <c r="A83" s="73"/>
      <c r="B83" s="27"/>
      <c r="C83" s="34"/>
      <c r="D83" s="35" t="s">
        <v>16</v>
      </c>
      <c r="E83" s="36"/>
      <c r="F83" s="32">
        <f aca="true" t="shared" si="7" ref="F83:Q83">SUBTOTAL(9,F79:F82)</f>
        <v>0</v>
      </c>
      <c r="G83" s="32">
        <f t="shared" si="7"/>
        <v>0</v>
      </c>
      <c r="H83" s="32">
        <f t="shared" si="7"/>
        <v>0</v>
      </c>
      <c r="I83" s="32">
        <f t="shared" si="7"/>
        <v>0</v>
      </c>
      <c r="J83" s="32">
        <f t="shared" si="7"/>
        <v>0</v>
      </c>
      <c r="K83" s="32">
        <f t="shared" si="7"/>
        <v>0</v>
      </c>
      <c r="L83" s="32">
        <f t="shared" si="7"/>
        <v>0</v>
      </c>
      <c r="M83" s="32">
        <f t="shared" si="7"/>
        <v>0</v>
      </c>
      <c r="N83" s="32">
        <f t="shared" si="7"/>
        <v>0</v>
      </c>
      <c r="O83" s="32">
        <f t="shared" si="7"/>
        <v>0</v>
      </c>
      <c r="P83" s="32">
        <f t="shared" si="7"/>
        <v>0</v>
      </c>
      <c r="Q83" s="60">
        <f t="shared" si="7"/>
        <v>0</v>
      </c>
      <c r="R83" s="89"/>
    </row>
    <row r="84" spans="1:18" ht="8.25" customHeight="1" hidden="1">
      <c r="A84" s="70"/>
      <c r="B84" s="22"/>
      <c r="C84" s="3"/>
      <c r="D84" s="16"/>
      <c r="E84" s="20"/>
      <c r="F84" s="9"/>
      <c r="G84" s="9"/>
      <c r="H84" s="9"/>
      <c r="I84" s="9"/>
      <c r="J84" s="9"/>
      <c r="K84" s="9"/>
      <c r="L84" s="9"/>
      <c r="M84" s="9"/>
      <c r="N84" s="9"/>
      <c r="O84" s="81"/>
      <c r="P84" s="9"/>
      <c r="Q84" s="57"/>
      <c r="R84" s="91"/>
    </row>
    <row r="85" spans="1:18" ht="16.5" customHeight="1" hidden="1">
      <c r="A85" s="70"/>
      <c r="B85" s="22" t="s">
        <v>24</v>
      </c>
      <c r="C85" s="3"/>
      <c r="D85" s="16"/>
      <c r="E85" s="19"/>
      <c r="F85" s="9"/>
      <c r="G85" s="9"/>
      <c r="H85" s="9"/>
      <c r="I85" s="9"/>
      <c r="J85" s="9"/>
      <c r="K85" s="9"/>
      <c r="L85" s="9"/>
      <c r="M85" s="9"/>
      <c r="N85" s="9"/>
      <c r="O85" s="81"/>
      <c r="P85" s="9"/>
      <c r="Q85" s="57"/>
      <c r="R85" s="50"/>
    </row>
    <row r="86" spans="1:18" ht="13.5" hidden="1">
      <c r="A86" s="70"/>
      <c r="B86" s="22"/>
      <c r="C86" s="3"/>
      <c r="D86" s="16"/>
      <c r="E86" s="20"/>
      <c r="F86" s="9"/>
      <c r="G86" s="9"/>
      <c r="H86" s="9"/>
      <c r="I86" s="9"/>
      <c r="J86" s="9"/>
      <c r="K86" s="9"/>
      <c r="L86" s="9"/>
      <c r="M86" s="9"/>
      <c r="N86" s="9"/>
      <c r="O86" s="81"/>
      <c r="P86" s="9"/>
      <c r="Q86" s="82">
        <f>+F86+SUM(G86:P86)</f>
        <v>0</v>
      </c>
      <c r="R86" s="84"/>
    </row>
    <row r="87" spans="1:18" s="33" customFormat="1" ht="20.25" customHeight="1" hidden="1">
      <c r="A87" s="73"/>
      <c r="B87" s="27"/>
      <c r="C87" s="34"/>
      <c r="D87" s="35" t="s">
        <v>25</v>
      </c>
      <c r="E87" s="36"/>
      <c r="F87" s="32">
        <f>SUBTOTAL(9,F85:F86)</f>
        <v>0</v>
      </c>
      <c r="G87" s="32">
        <f aca="true" t="shared" si="8" ref="G87:P87">SUBTOTAL(9,G85:G86)</f>
        <v>0</v>
      </c>
      <c r="H87" s="32">
        <f t="shared" si="8"/>
        <v>0</v>
      </c>
      <c r="I87" s="32">
        <f t="shared" si="8"/>
        <v>0</v>
      </c>
      <c r="J87" s="32">
        <f t="shared" si="8"/>
        <v>0</v>
      </c>
      <c r="K87" s="32">
        <f t="shared" si="8"/>
        <v>0</v>
      </c>
      <c r="L87" s="32">
        <f t="shared" si="8"/>
        <v>0</v>
      </c>
      <c r="M87" s="32">
        <f t="shared" si="8"/>
        <v>0</v>
      </c>
      <c r="N87" s="32">
        <f t="shared" si="8"/>
        <v>0</v>
      </c>
      <c r="O87" s="32">
        <f>SUBTOTAL(9,O85:O86)</f>
        <v>0</v>
      </c>
      <c r="P87" s="32">
        <f t="shared" si="8"/>
        <v>0</v>
      </c>
      <c r="Q87" s="60">
        <f>SUBTOTAL(9,Q85:Q86)</f>
        <v>0</v>
      </c>
      <c r="R87" s="89"/>
    </row>
    <row r="88" spans="1:18" ht="21.75" customHeight="1" hidden="1">
      <c r="A88" s="70"/>
      <c r="B88" s="22"/>
      <c r="C88" s="3"/>
      <c r="D88" s="16"/>
      <c r="E88" s="20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57"/>
      <c r="R88" s="91"/>
    </row>
    <row r="89" spans="1:18" ht="16.5" customHeight="1">
      <c r="A89" s="70"/>
      <c r="B89" s="22" t="s">
        <v>19</v>
      </c>
      <c r="C89" s="3"/>
      <c r="D89" s="16"/>
      <c r="E89" s="1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141">
        <f>+F89+SUM(G89:P89)</f>
        <v>0</v>
      </c>
      <c r="R89" s="50"/>
    </row>
    <row r="90" spans="1:18" ht="13.5">
      <c r="A90" s="128" t="s">
        <v>136</v>
      </c>
      <c r="B90" s="22"/>
      <c r="C90" s="3" t="s">
        <v>114</v>
      </c>
      <c r="D90" s="16" t="s">
        <v>237</v>
      </c>
      <c r="E90" s="19" t="s">
        <v>236</v>
      </c>
      <c r="F90" s="81">
        <v>-50000</v>
      </c>
      <c r="G90" s="81"/>
      <c r="H90" s="81"/>
      <c r="I90" s="81">
        <v>50000</v>
      </c>
      <c r="J90" s="81"/>
      <c r="K90" s="81"/>
      <c r="L90" s="81"/>
      <c r="M90" s="81"/>
      <c r="N90" s="81"/>
      <c r="O90" s="81"/>
      <c r="P90" s="81"/>
      <c r="Q90" s="141">
        <f>+F90+SUM(G90:P90)</f>
        <v>0</v>
      </c>
      <c r="R90" s="50" t="s">
        <v>168</v>
      </c>
    </row>
    <row r="91" spans="1:18" ht="13.5">
      <c r="A91" s="128" t="s">
        <v>136</v>
      </c>
      <c r="B91" s="22"/>
      <c r="C91" s="3" t="s">
        <v>115</v>
      </c>
      <c r="D91" s="16" t="s">
        <v>115</v>
      </c>
      <c r="E91" s="19" t="s">
        <v>116</v>
      </c>
      <c r="F91" s="81">
        <f>-13598+1549</f>
        <v>-12049</v>
      </c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2">
        <f>+F91+SUM(G91:P91)</f>
        <v>-12049</v>
      </c>
      <c r="R91" s="50" t="s">
        <v>169</v>
      </c>
    </row>
    <row r="92" spans="1:18" ht="16.5" customHeight="1">
      <c r="A92" s="70"/>
      <c r="B92" s="22"/>
      <c r="C92" s="106"/>
      <c r="D92" s="16"/>
      <c r="E92" s="19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2">
        <f>+F92+SUM(G92:P92)</f>
        <v>0</v>
      </c>
      <c r="R92" s="88"/>
    </row>
    <row r="93" spans="1:18" ht="6" customHeight="1">
      <c r="A93" s="70"/>
      <c r="B93" s="22"/>
      <c r="C93" s="3"/>
      <c r="D93" s="16"/>
      <c r="E93" s="20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57">
        <f>+F93+SUM(G93:P93)</f>
        <v>0</v>
      </c>
      <c r="R93" s="84"/>
    </row>
    <row r="94" spans="1:18" s="33" customFormat="1" ht="20.25" customHeight="1">
      <c r="A94" s="73"/>
      <c r="B94" s="27"/>
      <c r="C94" s="34"/>
      <c r="D94" s="35" t="s">
        <v>20</v>
      </c>
      <c r="E94" s="36"/>
      <c r="F94" s="32">
        <f aca="true" t="shared" si="9" ref="F94:Q94">SUBTOTAL(9,F89:F93)</f>
        <v>-62049</v>
      </c>
      <c r="G94" s="140">
        <f t="shared" si="9"/>
        <v>0</v>
      </c>
      <c r="H94" s="140">
        <f t="shared" si="9"/>
        <v>0</v>
      </c>
      <c r="I94" s="32">
        <f t="shared" si="9"/>
        <v>50000</v>
      </c>
      <c r="J94" s="140">
        <f t="shared" si="9"/>
        <v>0</v>
      </c>
      <c r="K94" s="140">
        <f t="shared" si="9"/>
        <v>0</v>
      </c>
      <c r="L94" s="140">
        <f t="shared" si="9"/>
        <v>0</v>
      </c>
      <c r="M94" s="140">
        <f t="shared" si="9"/>
        <v>0</v>
      </c>
      <c r="N94" s="140">
        <f t="shared" si="9"/>
        <v>0</v>
      </c>
      <c r="O94" s="140">
        <f t="shared" si="9"/>
        <v>0</v>
      </c>
      <c r="P94" s="140">
        <f t="shared" si="9"/>
        <v>0</v>
      </c>
      <c r="Q94" s="60">
        <f t="shared" si="9"/>
        <v>-12049</v>
      </c>
      <c r="R94" s="92"/>
    </row>
    <row r="95" spans="1:18" ht="9.75" customHeight="1">
      <c r="A95" s="70"/>
      <c r="B95" s="22"/>
      <c r="C95" s="3"/>
      <c r="D95" s="16"/>
      <c r="E95" s="20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57"/>
      <c r="R95" s="91"/>
    </row>
    <row r="96" spans="1:18" ht="16.5" customHeight="1">
      <c r="A96" s="70"/>
      <c r="B96" s="22" t="s">
        <v>21</v>
      </c>
      <c r="C96" s="3"/>
      <c r="D96" s="16"/>
      <c r="E96" s="1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57"/>
      <c r="R96" s="50"/>
    </row>
    <row r="97" spans="1:18" ht="16.5" customHeight="1">
      <c r="A97" s="128" t="s">
        <v>136</v>
      </c>
      <c r="B97" s="22"/>
      <c r="C97" s="106" t="s">
        <v>117</v>
      </c>
      <c r="D97" s="16" t="s">
        <v>119</v>
      </c>
      <c r="E97" s="19" t="s">
        <v>118</v>
      </c>
      <c r="F97" s="81">
        <v>-41042</v>
      </c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2">
        <f>+F97+SUM(G97:P97)</f>
        <v>-41042</v>
      </c>
      <c r="R97" s="88" t="s">
        <v>209</v>
      </c>
    </row>
    <row r="98" spans="1:18" ht="16.5" customHeight="1">
      <c r="A98" s="128" t="s">
        <v>136</v>
      </c>
      <c r="B98" s="22"/>
      <c r="C98" s="106" t="s">
        <v>117</v>
      </c>
      <c r="D98" s="16" t="s">
        <v>206</v>
      </c>
      <c r="E98" s="19" t="s">
        <v>201</v>
      </c>
      <c r="F98" s="81">
        <v>-51737</v>
      </c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2">
        <f>+F98+SUM(G98:P98)</f>
        <v>-51737</v>
      </c>
      <c r="R98" s="135" t="s">
        <v>214</v>
      </c>
    </row>
    <row r="99" spans="1:18" ht="16.5" customHeight="1">
      <c r="A99" s="128" t="s">
        <v>136</v>
      </c>
      <c r="B99" s="22"/>
      <c r="C99" s="106" t="s">
        <v>117</v>
      </c>
      <c r="D99" s="16" t="s">
        <v>204</v>
      </c>
      <c r="E99" s="19" t="s">
        <v>202</v>
      </c>
      <c r="F99" s="81">
        <v>-31411</v>
      </c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2">
        <f>+F99+SUM(G99:P99)</f>
        <v>-31411</v>
      </c>
      <c r="R99" s="135" t="s">
        <v>210</v>
      </c>
    </row>
    <row r="100" spans="1:18" ht="16.5" customHeight="1">
      <c r="A100" s="128" t="s">
        <v>136</v>
      </c>
      <c r="B100" s="22"/>
      <c r="C100" s="106" t="s">
        <v>117</v>
      </c>
      <c r="D100" s="16" t="s">
        <v>205</v>
      </c>
      <c r="E100" s="19" t="s">
        <v>203</v>
      </c>
      <c r="F100" s="81">
        <v>-3306</v>
      </c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2">
        <f>+F100+SUM(G100:P100)</f>
        <v>-3306</v>
      </c>
      <c r="R100" s="88" t="s">
        <v>211</v>
      </c>
    </row>
    <row r="101" spans="1:18" ht="16.5" customHeight="1">
      <c r="A101" s="70"/>
      <c r="B101" s="22"/>
      <c r="C101" s="106"/>
      <c r="D101" s="16"/>
      <c r="E101" s="19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2">
        <f>+F101+SUM(G101:P101)</f>
        <v>0</v>
      </c>
      <c r="R101" s="88"/>
    </row>
    <row r="102" spans="1:18" s="33" customFormat="1" ht="35.25" customHeight="1">
      <c r="A102" s="73"/>
      <c r="B102" s="27"/>
      <c r="C102" s="34"/>
      <c r="D102" s="35" t="s">
        <v>39</v>
      </c>
      <c r="E102" s="36"/>
      <c r="F102" s="32">
        <f aca="true" t="shared" si="10" ref="F102:Q102">SUBTOTAL(9,F96:F101)</f>
        <v>-127496</v>
      </c>
      <c r="G102" s="140">
        <f t="shared" si="10"/>
        <v>0</v>
      </c>
      <c r="H102" s="140">
        <f t="shared" si="10"/>
        <v>0</v>
      </c>
      <c r="I102" s="140">
        <f t="shared" si="10"/>
        <v>0</v>
      </c>
      <c r="J102" s="140">
        <f t="shared" si="10"/>
        <v>0</v>
      </c>
      <c r="K102" s="140">
        <f t="shared" si="10"/>
        <v>0</v>
      </c>
      <c r="L102" s="140">
        <f t="shared" si="10"/>
        <v>0</v>
      </c>
      <c r="M102" s="140">
        <f t="shared" si="10"/>
        <v>0</v>
      </c>
      <c r="N102" s="140">
        <f t="shared" si="10"/>
        <v>0</v>
      </c>
      <c r="O102" s="140">
        <f t="shared" si="10"/>
        <v>0</v>
      </c>
      <c r="P102" s="140">
        <f t="shared" si="10"/>
        <v>0</v>
      </c>
      <c r="Q102" s="60">
        <f t="shared" si="10"/>
        <v>-127496</v>
      </c>
      <c r="R102" s="89"/>
    </row>
    <row r="103" spans="1:18" ht="6.75" customHeight="1">
      <c r="A103" s="70"/>
      <c r="B103" s="22"/>
      <c r="C103" s="3"/>
      <c r="D103" s="16"/>
      <c r="E103" s="20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57"/>
      <c r="R103" s="91"/>
    </row>
    <row r="104" spans="1:18" ht="16.5" customHeight="1">
      <c r="A104" s="70"/>
      <c r="B104" s="22" t="s">
        <v>5</v>
      </c>
      <c r="C104" s="3"/>
      <c r="E104" s="110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57"/>
      <c r="R104" s="50"/>
    </row>
    <row r="105" spans="1:18" ht="51" customHeight="1">
      <c r="A105" s="70"/>
      <c r="B105" s="22"/>
      <c r="C105" s="3"/>
      <c r="D105" s="136" t="s">
        <v>192</v>
      </c>
      <c r="E105" s="110" t="s">
        <v>179</v>
      </c>
      <c r="F105" s="81"/>
      <c r="G105" s="81">
        <v>400000</v>
      </c>
      <c r="H105" s="81"/>
      <c r="I105" s="81"/>
      <c r="J105" s="81"/>
      <c r="K105" s="81"/>
      <c r="L105" s="81"/>
      <c r="M105" s="81"/>
      <c r="N105" s="81"/>
      <c r="O105" s="81"/>
      <c r="P105" s="81"/>
      <c r="Q105" s="82">
        <f aca="true" t="shared" si="11" ref="Q105:Q111">+F105+SUM(G105:P105)</f>
        <v>400000</v>
      </c>
      <c r="R105" s="106" t="s">
        <v>194</v>
      </c>
    </row>
    <row r="106" spans="1:18" ht="66" customHeight="1">
      <c r="A106" s="70"/>
      <c r="B106" s="22"/>
      <c r="C106" s="3"/>
      <c r="D106" s="136" t="s">
        <v>191</v>
      </c>
      <c r="E106" s="110" t="s">
        <v>180</v>
      </c>
      <c r="F106" s="81"/>
      <c r="G106" s="81">
        <v>-260000</v>
      </c>
      <c r="H106" s="81"/>
      <c r="I106" s="81">
        <v>-500000</v>
      </c>
      <c r="J106" s="81"/>
      <c r="K106" s="81"/>
      <c r="L106" s="81">
        <v>-3040000</v>
      </c>
      <c r="M106" s="81"/>
      <c r="N106" s="81"/>
      <c r="O106" s="81"/>
      <c r="P106" s="81"/>
      <c r="Q106" s="82">
        <f t="shared" si="11"/>
        <v>-3800000</v>
      </c>
      <c r="R106" s="106" t="s">
        <v>195</v>
      </c>
    </row>
    <row r="107" spans="1:18" ht="51" customHeight="1">
      <c r="A107" s="70"/>
      <c r="B107" s="22"/>
      <c r="C107" s="3"/>
      <c r="D107" s="136" t="s">
        <v>190</v>
      </c>
      <c r="E107" s="110" t="s">
        <v>181</v>
      </c>
      <c r="F107" s="81"/>
      <c r="G107" s="81">
        <v>-400000</v>
      </c>
      <c r="H107" s="81"/>
      <c r="I107" s="81"/>
      <c r="J107" s="81"/>
      <c r="K107" s="81"/>
      <c r="L107" s="81"/>
      <c r="M107" s="81"/>
      <c r="N107" s="81"/>
      <c r="O107" s="81"/>
      <c r="P107" s="81"/>
      <c r="Q107" s="82">
        <f t="shared" si="11"/>
        <v>-400000</v>
      </c>
      <c r="R107" s="106" t="s">
        <v>196</v>
      </c>
    </row>
    <row r="108" spans="1:18" ht="36.75" customHeight="1">
      <c r="A108" s="70"/>
      <c r="B108" s="22"/>
      <c r="C108" s="3"/>
      <c r="D108" s="137" t="s">
        <v>189</v>
      </c>
      <c r="E108" s="110" t="s">
        <v>182</v>
      </c>
      <c r="F108" s="81"/>
      <c r="G108" s="81">
        <v>260000</v>
      </c>
      <c r="H108" s="81"/>
      <c r="I108" s="81"/>
      <c r="J108" s="81"/>
      <c r="K108" s="81"/>
      <c r="L108" s="81">
        <v>1040000</v>
      </c>
      <c r="M108" s="81"/>
      <c r="N108" s="81"/>
      <c r="O108" s="81"/>
      <c r="P108" s="81"/>
      <c r="Q108" s="82">
        <f t="shared" si="11"/>
        <v>1300000</v>
      </c>
      <c r="R108" s="106" t="s">
        <v>197</v>
      </c>
    </row>
    <row r="109" spans="1:18" ht="36" customHeight="1">
      <c r="A109" s="70"/>
      <c r="B109" s="22"/>
      <c r="C109" s="3"/>
      <c r="D109" s="136" t="s">
        <v>188</v>
      </c>
      <c r="E109" s="110" t="s">
        <v>183</v>
      </c>
      <c r="F109" s="81"/>
      <c r="G109" s="81">
        <v>-750000</v>
      </c>
      <c r="H109" s="81"/>
      <c r="I109" s="81"/>
      <c r="J109" s="81"/>
      <c r="K109" s="81"/>
      <c r="L109" s="81">
        <v>750000</v>
      </c>
      <c r="M109" s="81"/>
      <c r="N109" s="81"/>
      <c r="O109" s="81"/>
      <c r="P109" s="81"/>
      <c r="Q109" s="141">
        <f t="shared" si="11"/>
        <v>0</v>
      </c>
      <c r="R109" s="106" t="s">
        <v>198</v>
      </c>
    </row>
    <row r="110" spans="1:18" ht="75.75" customHeight="1">
      <c r="A110" s="70"/>
      <c r="B110" s="22"/>
      <c r="C110" s="3"/>
      <c r="D110" s="136" t="s">
        <v>187</v>
      </c>
      <c r="E110" s="110" t="s">
        <v>184</v>
      </c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>
        <v>-747826</v>
      </c>
      <c r="Q110" s="82">
        <f t="shared" si="11"/>
        <v>-747826</v>
      </c>
      <c r="R110" s="106" t="s">
        <v>212</v>
      </c>
    </row>
    <row r="111" spans="1:18" ht="51" customHeight="1">
      <c r="A111" s="70"/>
      <c r="B111" s="22"/>
      <c r="C111" s="3"/>
      <c r="D111" s="138" t="s">
        <v>186</v>
      </c>
      <c r="E111" s="110" t="s">
        <v>185</v>
      </c>
      <c r="F111" s="81"/>
      <c r="G111" s="81">
        <v>750000</v>
      </c>
      <c r="H111" s="81"/>
      <c r="I111" s="81"/>
      <c r="J111" s="81"/>
      <c r="K111" s="81"/>
      <c r="L111" s="81"/>
      <c r="M111" s="81"/>
      <c r="N111" s="81"/>
      <c r="O111" s="81"/>
      <c r="P111" s="81"/>
      <c r="Q111" s="82">
        <f t="shared" si="11"/>
        <v>750000</v>
      </c>
      <c r="R111" s="106" t="s">
        <v>193</v>
      </c>
    </row>
    <row r="112" spans="1:18" ht="10.5" customHeight="1">
      <c r="A112" s="70"/>
      <c r="B112" s="22"/>
      <c r="C112" s="1"/>
      <c r="D112" s="1"/>
      <c r="E112" s="111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57"/>
      <c r="R112" s="51"/>
    </row>
    <row r="113" spans="1:18" s="33" customFormat="1" ht="21.75" customHeight="1">
      <c r="A113" s="73"/>
      <c r="B113" s="27"/>
      <c r="C113" s="34"/>
      <c r="D113" s="35" t="s">
        <v>17</v>
      </c>
      <c r="E113" s="36"/>
      <c r="F113" s="140">
        <f aca="true" t="shared" si="12" ref="F113:N113">SUBTOTAL(9,F104:F112)</f>
        <v>0</v>
      </c>
      <c r="G113" s="140">
        <f t="shared" si="12"/>
        <v>0</v>
      </c>
      <c r="H113" s="140">
        <f t="shared" si="12"/>
        <v>0</v>
      </c>
      <c r="I113" s="32">
        <f t="shared" si="12"/>
        <v>-500000</v>
      </c>
      <c r="J113" s="140">
        <f t="shared" si="12"/>
        <v>0</v>
      </c>
      <c r="K113" s="140">
        <f t="shared" si="12"/>
        <v>0</v>
      </c>
      <c r="L113" s="32">
        <f t="shared" si="12"/>
        <v>-1250000</v>
      </c>
      <c r="M113" s="140">
        <f t="shared" si="12"/>
        <v>0</v>
      </c>
      <c r="N113" s="140">
        <f t="shared" si="12"/>
        <v>0</v>
      </c>
      <c r="O113" s="140">
        <v>0</v>
      </c>
      <c r="P113" s="32">
        <f>SUBTOTAL(9,P104:P112)</f>
        <v>-747826</v>
      </c>
      <c r="Q113" s="60">
        <f>SUBTOTAL(9,Q104:Q112)</f>
        <v>-2497826</v>
      </c>
      <c r="R113" s="89"/>
    </row>
    <row r="114" spans="1:18" s="33" customFormat="1" ht="6" customHeight="1">
      <c r="A114" s="73"/>
      <c r="B114" s="27"/>
      <c r="C114" s="34"/>
      <c r="D114" s="28"/>
      <c r="E114" s="41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1"/>
      <c r="R114" s="90"/>
    </row>
    <row r="115" spans="1:18" ht="16.5" customHeight="1">
      <c r="A115" s="70"/>
      <c r="B115" s="22" t="s">
        <v>26</v>
      </c>
      <c r="C115" s="3"/>
      <c r="D115" s="16"/>
      <c r="E115" s="19"/>
      <c r="F115" s="66"/>
      <c r="G115" s="66"/>
      <c r="H115" s="66"/>
      <c r="I115" s="66"/>
      <c r="J115" s="66"/>
      <c r="K115" s="66"/>
      <c r="L115" s="66"/>
      <c r="M115" s="66"/>
      <c r="N115" s="66"/>
      <c r="O115" s="66"/>
      <c r="P115" s="66"/>
      <c r="Q115" s="57"/>
      <c r="R115" s="50"/>
    </row>
    <row r="116" spans="1:18" ht="40.5" customHeight="1">
      <c r="A116" s="128" t="s">
        <v>136</v>
      </c>
      <c r="B116" s="22"/>
      <c r="C116" s="3" t="s">
        <v>83</v>
      </c>
      <c r="D116" s="16" t="s">
        <v>83</v>
      </c>
      <c r="E116" s="19" t="s">
        <v>84</v>
      </c>
      <c r="F116" s="66">
        <v>-837046</v>
      </c>
      <c r="G116" s="66"/>
      <c r="H116" s="66"/>
      <c r="I116" s="66"/>
      <c r="J116" s="66"/>
      <c r="K116" s="66"/>
      <c r="L116" s="66"/>
      <c r="M116" s="66"/>
      <c r="N116" s="66"/>
      <c r="O116" s="66"/>
      <c r="P116" s="66"/>
      <c r="Q116" s="82">
        <f>+F116+SUM(G116:P116)</f>
        <v>-837046</v>
      </c>
      <c r="R116" s="50" t="s">
        <v>238</v>
      </c>
    </row>
    <row r="117" spans="1:18" ht="6" customHeight="1">
      <c r="A117" s="70"/>
      <c r="B117" s="22"/>
      <c r="C117" s="3"/>
      <c r="D117" s="16"/>
      <c r="E117" s="20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57">
        <f>+F117+SUM(G117:P117)</f>
        <v>0</v>
      </c>
      <c r="R117" s="84"/>
    </row>
    <row r="118" spans="1:18" s="33" customFormat="1" ht="20.25" customHeight="1">
      <c r="A118" s="73"/>
      <c r="B118" s="27"/>
      <c r="C118" s="34"/>
      <c r="D118" s="35" t="s">
        <v>27</v>
      </c>
      <c r="E118" s="36"/>
      <c r="F118" s="68">
        <f>SUBTOTAL(9,F115:F117)</f>
        <v>-837046</v>
      </c>
      <c r="G118" s="140">
        <f aca="true" t="shared" si="13" ref="G118:P118">SUBTOTAL(9,G115:G117)</f>
        <v>0</v>
      </c>
      <c r="H118" s="140">
        <f t="shared" si="13"/>
        <v>0</v>
      </c>
      <c r="I118" s="140">
        <f t="shared" si="13"/>
        <v>0</v>
      </c>
      <c r="J118" s="140">
        <f t="shared" si="13"/>
        <v>0</v>
      </c>
      <c r="K118" s="140">
        <f t="shared" si="13"/>
        <v>0</v>
      </c>
      <c r="L118" s="140">
        <f t="shared" si="13"/>
        <v>0</v>
      </c>
      <c r="M118" s="140">
        <f t="shared" si="13"/>
        <v>0</v>
      </c>
      <c r="N118" s="140">
        <f t="shared" si="13"/>
        <v>0</v>
      </c>
      <c r="O118" s="140">
        <v>0</v>
      </c>
      <c r="P118" s="140">
        <f t="shared" si="13"/>
        <v>0</v>
      </c>
      <c r="Q118" s="60">
        <f>SUBTOTAL(9,Q115:Q117)</f>
        <v>-837046</v>
      </c>
      <c r="R118" s="89"/>
    </row>
    <row r="119" spans="1:18" ht="8.25" customHeight="1">
      <c r="A119" s="70"/>
      <c r="B119" s="22"/>
      <c r="C119" s="3"/>
      <c r="D119" s="16"/>
      <c r="E119" s="20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57"/>
      <c r="R119" s="91"/>
    </row>
    <row r="120" spans="1:18" ht="6" customHeight="1" hidden="1">
      <c r="A120" s="70"/>
      <c r="B120" s="22"/>
      <c r="C120" s="3"/>
      <c r="D120" s="16"/>
      <c r="E120" s="1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62"/>
      <c r="R120" s="94"/>
    </row>
    <row r="121" spans="1:18" s="33" customFormat="1" ht="31.5" customHeight="1">
      <c r="A121" s="73"/>
      <c r="B121" s="27"/>
      <c r="C121" s="155" t="s">
        <v>18</v>
      </c>
      <c r="D121" s="156"/>
      <c r="E121" s="40"/>
      <c r="F121" s="47">
        <f aca="true" t="shared" si="14" ref="F121:Q121">SUBTOTAL(9,F11:F120)</f>
        <v>-11999256.45</v>
      </c>
      <c r="G121" s="142">
        <f t="shared" si="14"/>
        <v>0</v>
      </c>
      <c r="H121" s="47">
        <f t="shared" si="14"/>
        <v>375459</v>
      </c>
      <c r="I121" s="47">
        <f t="shared" si="14"/>
        <v>-4202712</v>
      </c>
      <c r="J121" s="47">
        <f t="shared" si="14"/>
        <v>25742370</v>
      </c>
      <c r="K121" s="47">
        <f t="shared" si="14"/>
        <v>-4339104</v>
      </c>
      <c r="L121" s="47">
        <f t="shared" si="14"/>
        <v>27266880</v>
      </c>
      <c r="M121" s="47">
        <f t="shared" si="14"/>
        <v>1636422</v>
      </c>
      <c r="N121" s="142">
        <f t="shared" si="14"/>
        <v>0</v>
      </c>
      <c r="O121" s="142">
        <f t="shared" si="14"/>
        <v>0</v>
      </c>
      <c r="P121" s="47">
        <f t="shared" si="14"/>
        <v>-1543954</v>
      </c>
      <c r="Q121" s="47">
        <f t="shared" si="14"/>
        <v>32936104.549999997</v>
      </c>
      <c r="R121" s="95"/>
    </row>
    <row r="122" spans="1:18" ht="10.5" customHeight="1">
      <c r="A122" s="70"/>
      <c r="B122" s="22"/>
      <c r="C122" s="3"/>
      <c r="D122" s="16"/>
      <c r="E122" s="19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96"/>
    </row>
    <row r="123" spans="1:18" ht="16.5" customHeight="1">
      <c r="A123" s="70"/>
      <c r="B123" s="22" t="s">
        <v>36</v>
      </c>
      <c r="C123" s="8"/>
      <c r="D123" s="16"/>
      <c r="E123" s="1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57"/>
      <c r="R123" s="50"/>
    </row>
    <row r="124" spans="1:18" ht="16.5" customHeight="1">
      <c r="A124" s="70"/>
      <c r="B124" s="22"/>
      <c r="C124" s="106"/>
      <c r="D124" s="16"/>
      <c r="E124" s="19"/>
      <c r="F124" s="81"/>
      <c r="G124" s="81"/>
      <c r="H124" s="81"/>
      <c r="I124" s="81"/>
      <c r="J124" s="81"/>
      <c r="K124" s="81"/>
      <c r="L124" s="81"/>
      <c r="M124" s="81"/>
      <c r="N124" s="81"/>
      <c r="O124" s="81"/>
      <c r="P124" s="81"/>
      <c r="Q124" s="82">
        <f>+F124+SUM(G124:P124)</f>
        <v>0</v>
      </c>
      <c r="R124" s="88"/>
    </row>
    <row r="125" spans="1:18" s="33" customFormat="1" ht="16.5" customHeight="1">
      <c r="A125" s="73"/>
      <c r="B125" s="27"/>
      <c r="C125" s="34"/>
      <c r="D125" s="35" t="s">
        <v>37</v>
      </c>
      <c r="E125" s="36"/>
      <c r="F125" s="143">
        <f aca="true" t="shared" si="15" ref="F125:Q125">SUBTOTAL(9,F123:F124)</f>
        <v>0</v>
      </c>
      <c r="G125" s="143">
        <f t="shared" si="15"/>
        <v>0</v>
      </c>
      <c r="H125" s="143">
        <f t="shared" si="15"/>
        <v>0</v>
      </c>
      <c r="I125" s="143">
        <f t="shared" si="15"/>
        <v>0</v>
      </c>
      <c r="J125" s="143">
        <f t="shared" si="15"/>
        <v>0</v>
      </c>
      <c r="K125" s="143">
        <f t="shared" si="15"/>
        <v>0</v>
      </c>
      <c r="L125" s="143">
        <f t="shared" si="15"/>
        <v>0</v>
      </c>
      <c r="M125" s="143">
        <f t="shared" si="15"/>
        <v>0</v>
      </c>
      <c r="N125" s="143">
        <f t="shared" si="15"/>
        <v>0</v>
      </c>
      <c r="O125" s="143">
        <f t="shared" si="15"/>
        <v>0</v>
      </c>
      <c r="P125" s="143">
        <f t="shared" si="15"/>
        <v>0</v>
      </c>
      <c r="Q125" s="60">
        <f t="shared" si="15"/>
        <v>0</v>
      </c>
      <c r="R125" s="89"/>
    </row>
    <row r="126" spans="1:18" s="33" customFormat="1" ht="9" customHeight="1">
      <c r="A126" s="73"/>
      <c r="B126" s="27"/>
      <c r="C126" s="34"/>
      <c r="D126" s="78"/>
      <c r="E126" s="42"/>
      <c r="F126" s="79"/>
      <c r="G126" s="79"/>
      <c r="H126" s="79"/>
      <c r="I126" s="79"/>
      <c r="J126" s="79"/>
      <c r="K126" s="79"/>
      <c r="L126" s="79"/>
      <c r="M126" s="79"/>
      <c r="N126" s="79"/>
      <c r="O126" s="79"/>
      <c r="P126" s="79"/>
      <c r="Q126" s="80"/>
      <c r="R126" s="97"/>
    </row>
    <row r="127" spans="1:18" s="29" customFormat="1" ht="20.25" customHeight="1">
      <c r="A127" s="72"/>
      <c r="B127" s="27"/>
      <c r="C127" s="28"/>
      <c r="D127" s="150" t="s">
        <v>29</v>
      </c>
      <c r="E127" s="151"/>
      <c r="F127" s="54">
        <f aca="true" t="shared" si="16" ref="F127:Q127">SUBTOTAL(9,F11:F126)</f>
        <v>-11999256.45</v>
      </c>
      <c r="G127" s="144">
        <f t="shared" si="16"/>
        <v>0</v>
      </c>
      <c r="H127" s="54">
        <f t="shared" si="16"/>
        <v>375459</v>
      </c>
      <c r="I127" s="54">
        <f t="shared" si="16"/>
        <v>-4202712</v>
      </c>
      <c r="J127" s="54">
        <f t="shared" si="16"/>
        <v>25742370</v>
      </c>
      <c r="K127" s="54">
        <f t="shared" si="16"/>
        <v>-4339104</v>
      </c>
      <c r="L127" s="54">
        <f t="shared" si="16"/>
        <v>27266880</v>
      </c>
      <c r="M127" s="54">
        <f t="shared" si="16"/>
        <v>1636422</v>
      </c>
      <c r="N127" s="144">
        <f t="shared" si="16"/>
        <v>0</v>
      </c>
      <c r="O127" s="144">
        <f t="shared" si="16"/>
        <v>0</v>
      </c>
      <c r="P127" s="54">
        <f t="shared" si="16"/>
        <v>-1543954</v>
      </c>
      <c r="Q127" s="60">
        <f t="shared" si="16"/>
        <v>32936104.549999997</v>
      </c>
      <c r="R127" s="98"/>
    </row>
    <row r="128" spans="1:18" s="31" customFormat="1" ht="21" customHeight="1" thickBot="1">
      <c r="A128" s="72"/>
      <c r="B128" s="30"/>
      <c r="C128" s="152" t="s">
        <v>94</v>
      </c>
      <c r="D128" s="153"/>
      <c r="E128" s="154"/>
      <c r="F128" s="53">
        <f aca="true" t="shared" si="17" ref="F128:Q128">F7+F127</f>
        <v>1405940927.55</v>
      </c>
      <c r="G128" s="53">
        <f t="shared" si="17"/>
        <v>259020594</v>
      </c>
      <c r="H128" s="53">
        <f t="shared" si="17"/>
        <v>1514319727</v>
      </c>
      <c r="I128" s="53">
        <f t="shared" si="17"/>
        <v>342403135</v>
      </c>
      <c r="J128" s="53">
        <f t="shared" si="17"/>
        <v>1288193966</v>
      </c>
      <c r="K128" s="53">
        <f t="shared" si="17"/>
        <v>263653795</v>
      </c>
      <c r="L128" s="53">
        <f t="shared" si="17"/>
        <v>1980024285</v>
      </c>
      <c r="M128" s="53">
        <f t="shared" si="17"/>
        <v>3034523</v>
      </c>
      <c r="N128" s="53">
        <f t="shared" si="17"/>
        <v>2502313</v>
      </c>
      <c r="O128" s="53">
        <f t="shared" si="17"/>
        <v>84275805</v>
      </c>
      <c r="P128" s="53">
        <f t="shared" si="17"/>
        <v>154236935</v>
      </c>
      <c r="Q128" s="53">
        <f t="shared" si="17"/>
        <v>7297606005.55</v>
      </c>
      <c r="R128" s="97"/>
    </row>
    <row r="129" spans="1:18" ht="15.75" customHeight="1" thickTop="1">
      <c r="A129" s="70"/>
      <c r="B129" s="112"/>
      <c r="C129" s="6"/>
      <c r="D129" s="6"/>
      <c r="E129" s="6"/>
      <c r="F129" s="6"/>
      <c r="G129" s="6"/>
      <c r="H129" s="6"/>
      <c r="I129" s="6"/>
      <c r="J129" s="5"/>
      <c r="K129" s="5"/>
      <c r="L129" s="5"/>
      <c r="M129" s="5"/>
      <c r="N129" s="5"/>
      <c r="O129" s="5"/>
      <c r="P129" s="5"/>
      <c r="Q129" s="64"/>
      <c r="R129" s="50" t="s">
        <v>85</v>
      </c>
    </row>
    <row r="130" spans="1:18" ht="15.75" customHeight="1">
      <c r="A130" s="70"/>
      <c r="B130" s="112"/>
      <c r="C130" s="6"/>
      <c r="D130" s="6"/>
      <c r="E130" s="6"/>
      <c r="F130" s="6"/>
      <c r="G130" s="6"/>
      <c r="H130" s="6"/>
      <c r="I130" s="6"/>
      <c r="J130" s="5"/>
      <c r="K130" s="5"/>
      <c r="L130" s="5"/>
      <c r="M130" s="5"/>
      <c r="N130" s="5"/>
      <c r="O130" s="5"/>
      <c r="P130" s="5"/>
      <c r="Q130" s="64">
        <f>-P128</f>
        <v>-154236935</v>
      </c>
      <c r="R130" s="50" t="s">
        <v>253</v>
      </c>
    </row>
    <row r="131" spans="1:18" ht="15.75" customHeight="1">
      <c r="A131" s="70"/>
      <c r="B131" s="112"/>
      <c r="C131" s="6"/>
      <c r="D131" s="6"/>
      <c r="E131" s="6"/>
      <c r="F131" s="6"/>
      <c r="G131" s="6"/>
      <c r="H131" s="6"/>
      <c r="I131" s="6"/>
      <c r="J131" s="5"/>
      <c r="K131" s="5"/>
      <c r="L131" s="5"/>
      <c r="M131" s="5"/>
      <c r="N131" s="5"/>
      <c r="O131" s="5"/>
      <c r="P131" s="5"/>
      <c r="Q131" s="64">
        <f>-J128</f>
        <v>-1288193966</v>
      </c>
      <c r="R131" s="50" t="s">
        <v>252</v>
      </c>
    </row>
    <row r="132" spans="1:18" ht="15.75" customHeight="1">
      <c r="A132" s="70"/>
      <c r="B132" s="112"/>
      <c r="C132" s="6"/>
      <c r="D132" s="6"/>
      <c r="E132" s="6"/>
      <c r="F132" s="6"/>
      <c r="G132" s="6"/>
      <c r="H132" s="6"/>
      <c r="I132" s="6"/>
      <c r="J132" s="5"/>
      <c r="K132" s="5"/>
      <c r="L132" s="5"/>
      <c r="M132" s="5"/>
      <c r="N132" s="5"/>
      <c r="O132" s="5"/>
      <c r="P132" s="5"/>
      <c r="Q132" s="64">
        <v>-295816793</v>
      </c>
      <c r="R132" s="50" t="s">
        <v>251</v>
      </c>
    </row>
    <row r="133" spans="1:18" s="49" customFormat="1" ht="33" customHeight="1">
      <c r="A133" s="126"/>
      <c r="B133" s="157" t="s">
        <v>140</v>
      </c>
      <c r="C133" s="158"/>
      <c r="D133" s="158"/>
      <c r="E133" s="159"/>
      <c r="F133" s="125"/>
      <c r="G133" s="125"/>
      <c r="H133" s="125"/>
      <c r="I133" s="125"/>
      <c r="J133" s="125"/>
      <c r="K133" s="125"/>
      <c r="L133" s="125"/>
      <c r="M133" s="125"/>
      <c r="N133" s="125"/>
      <c r="O133" s="125"/>
      <c r="P133" s="125"/>
      <c r="Q133" s="74">
        <f>SUM(Q128:Q132)</f>
        <v>5559358311.55</v>
      </c>
      <c r="R133" s="52"/>
    </row>
    <row r="134" spans="1:18" ht="6.75" customHeight="1">
      <c r="A134" s="70"/>
      <c r="B134" s="22"/>
      <c r="C134" s="3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63"/>
      <c r="R134" s="50"/>
    </row>
    <row r="135" spans="1:18" ht="15.75" customHeight="1">
      <c r="A135" s="70"/>
      <c r="B135" s="112" t="s">
        <v>31</v>
      </c>
      <c r="C135" s="6"/>
      <c r="D135" s="6"/>
      <c r="E135" s="6"/>
      <c r="F135" s="6"/>
      <c r="G135" s="6"/>
      <c r="H135" s="6"/>
      <c r="I135" s="6"/>
      <c r="J135" s="5"/>
      <c r="K135" s="5"/>
      <c r="L135" s="5"/>
      <c r="M135" s="5"/>
      <c r="N135" s="5"/>
      <c r="O135" s="5"/>
      <c r="P135" s="5"/>
      <c r="Q135" s="64"/>
      <c r="R135" s="50"/>
    </row>
    <row r="136" spans="1:18" ht="15.75" customHeight="1">
      <c r="A136" s="70"/>
      <c r="B136" s="112" t="s">
        <v>261</v>
      </c>
      <c r="C136" s="6"/>
      <c r="D136" s="6"/>
      <c r="E136" s="6"/>
      <c r="F136" s="6"/>
      <c r="G136" s="6"/>
      <c r="H136" s="6"/>
      <c r="I136" s="6"/>
      <c r="J136" s="5"/>
      <c r="K136" s="5"/>
      <c r="L136" s="5"/>
      <c r="M136" s="5"/>
      <c r="N136" s="5"/>
      <c r="O136" s="5"/>
      <c r="P136" s="5"/>
      <c r="Q136" s="64"/>
      <c r="R136" s="50"/>
    </row>
    <row r="137" spans="1:18" ht="16.5" customHeight="1">
      <c r="A137" s="70"/>
      <c r="B137" s="112" t="s">
        <v>33</v>
      </c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23"/>
      <c r="N137" s="23"/>
      <c r="O137" s="23"/>
      <c r="P137" s="23"/>
      <c r="Q137" s="65"/>
      <c r="R137" s="94"/>
    </row>
    <row r="138" spans="1:18" s="6" customFormat="1" ht="30.75" customHeight="1">
      <c r="A138" s="71"/>
      <c r="B138" s="48"/>
      <c r="C138" s="48"/>
      <c r="D138" s="48"/>
      <c r="E138" s="48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66"/>
      <c r="R138" s="83"/>
    </row>
    <row r="139" spans="1:16" ht="16.5" customHeight="1">
      <c r="A139" s="70"/>
      <c r="N139" s="5"/>
      <c r="O139" s="5"/>
      <c r="P139" s="5"/>
    </row>
    <row r="140" spans="1:18" ht="16.5" customHeight="1">
      <c r="A140" s="70"/>
      <c r="D140" s="55"/>
      <c r="N140" s="5"/>
      <c r="O140" s="5"/>
      <c r="P140" s="5"/>
      <c r="Q140" s="66"/>
      <c r="R140" s="66">
        <f>Q128-'[1]FY2015_AFDETA'!$AD$1822</f>
        <v>0.8599996566772461</v>
      </c>
    </row>
    <row r="141" spans="1:17" ht="16.5" customHeight="1">
      <c r="A141" s="70"/>
      <c r="N141" s="5"/>
      <c r="O141" s="5"/>
      <c r="P141" s="5"/>
      <c r="Q141" s="66"/>
    </row>
    <row r="142" spans="1:17" ht="16.5" customHeight="1">
      <c r="A142" s="70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66"/>
    </row>
    <row r="143" ht="16.5" customHeight="1">
      <c r="A143" s="70"/>
    </row>
    <row r="144" ht="16.5" customHeight="1">
      <c r="A144" s="70"/>
    </row>
    <row r="145" ht="16.5" customHeight="1">
      <c r="A145" s="70"/>
    </row>
    <row r="146" ht="16.5" customHeight="1">
      <c r="A146" s="70"/>
    </row>
    <row r="147" spans="1:18" ht="16.5" customHeight="1">
      <c r="A147" s="70"/>
      <c r="C147" s="114"/>
      <c r="R147" s="106"/>
    </row>
    <row r="148" spans="1:18" ht="16.5" customHeight="1">
      <c r="A148" s="70"/>
      <c r="C148" s="114"/>
      <c r="R148" s="106"/>
    </row>
    <row r="149" ht="16.5" customHeight="1">
      <c r="A149" s="70"/>
    </row>
    <row r="150" spans="1:7" ht="16.5" customHeight="1">
      <c r="A150" s="70"/>
      <c r="C150" s="146"/>
      <c r="D150" s="147"/>
      <c r="G150" s="4"/>
    </row>
    <row r="151" ht="16.5" customHeight="1">
      <c r="A151" s="70"/>
    </row>
    <row r="152" ht="16.5" customHeight="1">
      <c r="A152" s="70"/>
    </row>
    <row r="153" ht="16.5" customHeight="1">
      <c r="A153" s="70"/>
    </row>
    <row r="159" spans="3:4" ht="16.5" customHeight="1">
      <c r="C159" s="146"/>
      <c r="D159" s="147"/>
    </row>
    <row r="164" spans="3:4" ht="16.5" customHeight="1">
      <c r="C164" s="146"/>
      <c r="D164" s="147"/>
    </row>
    <row r="209" spans="3:4" ht="16.5" customHeight="1">
      <c r="C209" s="146"/>
      <c r="D209" s="147"/>
    </row>
    <row r="214" spans="3:4" ht="16.5" customHeight="1">
      <c r="C214" s="146"/>
      <c r="D214" s="147"/>
    </row>
  </sheetData>
  <sheetProtection/>
  <mergeCells count="11">
    <mergeCell ref="F1:Q1"/>
    <mergeCell ref="C214:D214"/>
    <mergeCell ref="B9:D9"/>
    <mergeCell ref="C164:D164"/>
    <mergeCell ref="C150:D150"/>
    <mergeCell ref="C159:D159"/>
    <mergeCell ref="C209:D209"/>
    <mergeCell ref="D127:E127"/>
    <mergeCell ref="C128:E128"/>
    <mergeCell ref="C121:D121"/>
    <mergeCell ref="B133:E133"/>
  </mergeCells>
  <printOptions gridLines="1"/>
  <pageMargins left="0.5" right="0.25" top="0.45" bottom="0.65" header="0" footer="0"/>
  <pageSetup fitToHeight="5" fitToWidth="1" horizontalDpi="600" verticalDpi="600" orientation="landscape" paperSize="17" scale="50" r:id="rId3"/>
  <headerFooter differentFirst="1" alignWithMargins="0">
    <oddFooter>&amp;L&amp;Z&amp;F&amp;CPage &amp;P of &amp;N</oddFooter>
    <firstFooter>&amp;L&amp;Z&amp;F&amp;CPage &amp;P of &amp;N&amp;R2</first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H14"/>
  <sheetViews>
    <sheetView zoomScalePageLayoutView="0" workbookViewId="0" topLeftCell="A1">
      <selection activeCell="E6" sqref="E6"/>
    </sheetView>
  </sheetViews>
  <sheetFormatPr defaultColWidth="9.140625" defaultRowHeight="12.75"/>
  <cols>
    <col min="2" max="2" width="12.421875" style="0" bestFit="1" customWidth="1"/>
    <col min="3" max="4" width="13.421875" style="0" bestFit="1" customWidth="1"/>
    <col min="5" max="5" width="22.421875" style="0" bestFit="1" customWidth="1"/>
    <col min="6" max="6" width="8.28125" style="0" bestFit="1" customWidth="1"/>
    <col min="7" max="7" width="11.28125" style="0" bestFit="1" customWidth="1"/>
  </cols>
  <sheetData>
    <row r="3" spans="3:7" ht="12.75">
      <c r="C3" t="s">
        <v>153</v>
      </c>
      <c r="D3" t="s">
        <v>154</v>
      </c>
      <c r="E3" t="s">
        <v>155</v>
      </c>
      <c r="F3" t="s">
        <v>159</v>
      </c>
      <c r="G3" t="s">
        <v>158</v>
      </c>
    </row>
    <row r="4" spans="2:8" ht="12.75">
      <c r="B4" t="s">
        <v>152</v>
      </c>
      <c r="C4" s="129">
        <f>SUM('BAA worksheet for FY15 BAA'!F34)</f>
        <v>-200000</v>
      </c>
      <c r="G4" s="129">
        <f>E4+C4</f>
        <v>-200000</v>
      </c>
      <c r="H4" t="s">
        <v>136</v>
      </c>
    </row>
    <row r="5" spans="2:7" ht="12.75">
      <c r="B5" s="131" t="s">
        <v>156</v>
      </c>
      <c r="C5" s="132">
        <f>'BAA worksheet for FY15 BAA'!F36</f>
        <v>-220000</v>
      </c>
      <c r="D5" s="131"/>
      <c r="E5" s="131"/>
      <c r="F5" s="131"/>
      <c r="G5" s="132">
        <f>E5+C5</f>
        <v>-220000</v>
      </c>
    </row>
    <row r="6" spans="2:7" ht="12.75">
      <c r="B6" s="131" t="s">
        <v>157</v>
      </c>
      <c r="C6" s="132">
        <f>SUM('BAA worksheet for FY15 BAA'!F38,'BAA worksheet for FY15 BAA'!F40,'BAA worksheet for FY15 BAA'!F42,'BAA worksheet for FY15 BAA'!F44)</f>
        <v>-2019209</v>
      </c>
      <c r="D6" s="132">
        <f>SUM('BAA worksheet for FY15 BAA'!J38,'BAA worksheet for FY15 BAA'!J40)</f>
        <v>-2874333</v>
      </c>
      <c r="E6" s="133">
        <f>D6*0.4351</f>
        <v>-1250622.2883</v>
      </c>
      <c r="F6" s="133">
        <f>'BAA worksheet for FY15 BAA'!I38</f>
        <v>-84714</v>
      </c>
      <c r="G6" s="132">
        <f>E6+C6+F6</f>
        <v>-3354545.2883</v>
      </c>
    </row>
    <row r="7" spans="1:8" ht="12.75">
      <c r="A7" t="s">
        <v>160</v>
      </c>
      <c r="B7" s="131"/>
      <c r="C7" s="131"/>
      <c r="D7" s="131"/>
      <c r="E7" s="131"/>
      <c r="F7" s="131"/>
      <c r="G7" s="132">
        <f>SUM(G5:G6)</f>
        <v>-3574545.2883</v>
      </c>
      <c r="H7" t="s">
        <v>136</v>
      </c>
    </row>
    <row r="8" spans="2:8" ht="12.75">
      <c r="B8" s="134" t="s">
        <v>161</v>
      </c>
      <c r="D8" s="129">
        <f>'BAA worksheet for FY15 BAA'!J48+'BAA worksheet for FY15 BAA'!J50</f>
        <v>-302000</v>
      </c>
      <c r="E8" s="130">
        <f>D8*0.4351</f>
        <v>-131400.19999999998</v>
      </c>
      <c r="G8" s="129">
        <f>E8+C8</f>
        <v>-131400.19999999998</v>
      </c>
      <c r="H8" t="s">
        <v>136</v>
      </c>
    </row>
    <row r="9" spans="2:8" ht="12.75">
      <c r="B9" s="134" t="s">
        <v>162</v>
      </c>
      <c r="C9" s="129">
        <f>SUM('BAA worksheet for FY15 BAA'!F52)</f>
        <v>-6448</v>
      </c>
      <c r="D9" s="129">
        <f>'BAA worksheet for FY15 BAA'!J52</f>
        <v>-2262541</v>
      </c>
      <c r="E9" s="130">
        <f>D9*0.4351</f>
        <v>-984431.5891</v>
      </c>
      <c r="G9" s="129">
        <f>E9+C9</f>
        <v>-990879.5891</v>
      </c>
      <c r="H9" t="s">
        <v>136</v>
      </c>
    </row>
    <row r="10" spans="2:8" ht="12.75">
      <c r="B10" s="134" t="s">
        <v>163</v>
      </c>
      <c r="C10" s="129">
        <f>'BAA worksheet for FY15 BAA'!F59+'BAA worksheet for FY15 BAA'!F61</f>
        <v>-3193973</v>
      </c>
      <c r="G10" s="129">
        <f>E10+C10</f>
        <v>-3193973</v>
      </c>
      <c r="H10" t="s">
        <v>136</v>
      </c>
    </row>
    <row r="11" spans="2:8" ht="12.75">
      <c r="B11" s="134" t="s">
        <v>164</v>
      </c>
      <c r="C11" s="129">
        <f>SUM('BAA worksheet for FY15 BAA'!F65,'BAA worksheet for FY15 BAA'!F67,'BAA worksheet for FY15 BAA'!F68)</f>
        <v>-139879</v>
      </c>
      <c r="D11" s="129">
        <f>SUM('BAA worksheet for FY15 BAA'!J70)</f>
        <v>-2046497</v>
      </c>
      <c r="E11" s="130">
        <f>D11*0.4351</f>
        <v>-890430.8447</v>
      </c>
      <c r="G11" s="129">
        <f>E11+C11</f>
        <v>-1030309.8447</v>
      </c>
      <c r="H11" t="s">
        <v>136</v>
      </c>
    </row>
    <row r="13" ht="12.75">
      <c r="G13" s="129">
        <f>SUM(G7:G11,G4)</f>
        <v>-9121107.9221</v>
      </c>
    </row>
    <row r="14" ht="12.75">
      <c r="G14" s="129">
        <f>G13-'BAA worksheet for FY15 BAA'!F76</f>
        <v>-9121107.9221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Joshua N. Slen</dc:creator>
  <cp:keywords/>
  <dc:description/>
  <cp:lastModifiedBy>susan.zeller</cp:lastModifiedBy>
  <cp:lastPrinted>2015-01-21T19:52:10Z</cp:lastPrinted>
  <dcterms:created xsi:type="dcterms:W3CDTF">2000-01-03T14:25:21Z</dcterms:created>
  <dcterms:modified xsi:type="dcterms:W3CDTF">2015-01-21T19:54:52Z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INKTEK-LINK-ID=D717-6B66-0139-6B73%%">
    <vt:lpwstr>operating statement gf fy 2008-2011-working doc(jr_saz).xls</vt:lpwstr>
  </property>
</Properties>
</file>